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Belous\Documents\Genesys\"/>
    </mc:Choice>
  </mc:AlternateContent>
  <bookViews>
    <workbookView xWindow="396" yWindow="648" windowWidth="15780" windowHeight="6516" tabRatio="801"/>
  </bookViews>
  <sheets>
    <sheet name="Main" sheetId="1" r:id="rId1"/>
    <sheet name="Server profiles" sheetId="6" r:id="rId2"/>
    <sheet name="Data Transfer" sheetId="7" r:id="rId3"/>
    <sheet name="D_Transfer" sheetId="10" state="hidden" r:id="rId4"/>
    <sheet name="Reporting Server" sheetId="8" r:id="rId5"/>
    <sheet name="TimeUnits" sheetId="9" state="hidden" r:id="rId6"/>
    <sheet name="Disk size calculation" sheetId="2" state="hidden" r:id="rId7"/>
    <sheet name="Backend Load Calculation" sheetId="5" state="hidden" r:id="rId8"/>
    <sheet name="Frontend Load Calculation" sheetId="3" state="hidden" r:id="rId9"/>
    <sheet name="Data" sheetId="4" state="hidden" r:id="rId10"/>
  </sheets>
  <definedNames>
    <definedName name="AdjBENodes">'Backend Load Calculation'!$E$4</definedName>
    <definedName name="AdjFENodes">'Frontend Load Calculation'!$B$22</definedName>
    <definedName name="AdjMaxVisitsPerSecond">'Frontend Load Calculation'!$B$6</definedName>
    <definedName name="AdjMinBENodes">'Backend Load Calculation'!$E$8</definedName>
    <definedName name="AdjVisitsPerSecond">'Frontend Load Calculation'!$B$5</definedName>
    <definedName name="AuxRequestsPerPage">'Frontend Load Calculation'!$B$11</definedName>
    <definedName name="AuxRequestsPerVisit">'Frontend Load Calculation'!$B$12</definedName>
    <definedName name="AvgEventSize">'Disk size calculation'!$F$8</definedName>
    <definedName name="AvgEventSizeCompressed">'Disk size calculation'!$G$8</definedName>
    <definedName name="AvgEventSizeCompressedNew">'Disk size calculation'!$D$8</definedName>
    <definedName name="AvgEventSizeCompressedOld">'Disk size calculation'!$G$8</definedName>
    <definedName name="AvgEventSizeNew">'Disk size calculation'!$C$8</definedName>
    <definedName name="AvgEventsPerSecond">'Frontend Load Calculation'!$B$16</definedName>
    <definedName name="AvgPagesPerSecond">'Frontend Load Calculation'!$B$8</definedName>
    <definedName name="AvgPagesPerVisit">Main!$F$6</definedName>
    <definedName name="BERegrConst1">'Backend Load Calculation'!$B$12</definedName>
    <definedName name="BERegrConst2">'Backend Load Calculation'!$B$13</definedName>
    <definedName name="BERegrConst3">'Backend Load Calculation'!$B$14</definedName>
    <definedName name="ByteToGb">Data!$B$9</definedName>
    <definedName name="CalculateCountShards">Data!$C$36</definedName>
    <definedName name="CassandraConnect">'Backend Load Calculation'!$B$18</definedName>
    <definedName name="CassandraRF">Main!$F$12</definedName>
    <definedName name="Category0PagesPart">Main!#REF!</definedName>
    <definedName name="Category1PagesPart">Main!#REF!</definedName>
    <definedName name="Category2PagesPart">Main!#REF!</definedName>
    <definedName name="CustomEventsPerPage">Main!$F$9</definedName>
    <definedName name="CustomEventsPerVisit">Main!$F$10</definedName>
    <definedName name="EntityTimeUnit">'Reporting Server'!$F$7</definedName>
    <definedName name="EntityTTL">'Reporting Server'!$F$6</definedName>
    <definedName name="EventSizeCat0Compr0">Data!$B$5</definedName>
    <definedName name="EventSizeCat0Compr1">Data!$C$5</definedName>
    <definedName name="EventSizeCat1Compr0">Data!$B$6</definedName>
    <definedName name="EventSizeCat1Compr1">Data!$C$6</definedName>
    <definedName name="EventSizeCat2Compr0">Data!$B$7</definedName>
    <definedName name="EventSizeCat2Compr1">Data!$C$7</definedName>
    <definedName name="EventsPerHour">'Disk size calculation'!$C$5</definedName>
    <definedName name="EventsPerPage">'Disk size calculation'!$C$2</definedName>
    <definedName name="EventsPerPageDef">Data!$B$15</definedName>
    <definedName name="EventsPerSecond">'Frontend Load Calculation'!$B$15</definedName>
    <definedName name="EventsPerVisit">'Disk size calculation'!$C$3</definedName>
    <definedName name="EventsPerVisitDef">Data!$B$14</definedName>
    <definedName name="EventsStored">TimeUnits!$D$9</definedName>
    <definedName name="GarpCountNodes">TimeUnits!$D$11</definedName>
    <definedName name="GarpCycleJobTask">TimeUnits!$D$10</definedName>
    <definedName name="GarpFreqJob">'Reporting Server'!$F$8</definedName>
    <definedName name="GradCountRowInPartion">TimeUnits!$C$14</definedName>
    <definedName name="GradNumberFullScan">TimeUnits!$C$16</definedName>
    <definedName name="GradParallelPartions">TimeUnits!$C$15</definedName>
    <definedName name="GradTimeForPartion">TimeUnits!$C$13</definedName>
    <definedName name="InterRegionPort7000">D_Transfer!$C$15</definedName>
    <definedName name="IntraRegionPort7000">D_Transfer!$B$15</definedName>
    <definedName name="IntraRegionPort9042">D_Transfer!$B$16</definedName>
    <definedName name="IntraRegionPort9081">D_Transfer!$B$14</definedName>
    <definedName name="IntraRegionPort9300">D_Transfer!$B$17</definedName>
    <definedName name="LimitBENodes">Data!$C$17</definedName>
    <definedName name="LimitFENodes">Data!$C$27</definedName>
    <definedName name="MaxFENodes">Data!$C$26</definedName>
    <definedName name="MaxFERPS">Data!$C$25</definedName>
    <definedName name="MaxVisitsPerHour">Main!$F$7</definedName>
    <definedName name="MinBENodes">'Backend Load Calculation'!$E$7</definedName>
    <definedName name="MinBERegr">'Backend Load Calculation'!$E$6</definedName>
    <definedName name="MinimalBENodes">Data!$B$2</definedName>
    <definedName name="MinimalFENodes">Data!$B$20</definedName>
    <definedName name="MinNodesGDPS">TimeUnits!$D$8</definedName>
    <definedName name="NumberOfCassandraNodes">Main!$F$27</definedName>
    <definedName name="PagesPerHour">'Disk size calculation'!$C$4</definedName>
    <definedName name="PagesPerSecond">'Frontend Load Calculation'!$B$7</definedName>
    <definedName name="Port7000">D_Transfer!$B$9</definedName>
    <definedName name="Port7000otherRegion">D_Transfer!$C$9</definedName>
    <definedName name="Port9042">D_Transfer!$B$10</definedName>
    <definedName name="Port9081">D_Transfer!$B$8</definedName>
    <definedName name="Port9300">D_Transfer!$B$11</definedName>
    <definedName name="RegrConst1">Data!$B$22</definedName>
    <definedName name="RegrConst2">Data!$B$23</definedName>
    <definedName name="ReplFactor">Main!#REF!</definedName>
    <definedName name="ReplicationFactor">'Frontend Load Calculation'!$B$24</definedName>
    <definedName name="RequestsPerSecond">'Frontend Load Calculation'!$B$18</definedName>
    <definedName name="SecPerHour">'Frontend Load Calculation'!$B$13</definedName>
    <definedName name="ShardHight">Data!$C$30</definedName>
    <definedName name="ShardInternal">Data!$C$31</definedName>
    <definedName name="ShardNormal">Data!$C$29</definedName>
    <definedName name="ShardPerformanceExt">Data!$C$33</definedName>
    <definedName name="ShardPerformanceInt">Data!$C$34</definedName>
    <definedName name="SparkCacheReadDuration">TimeUnits!$C$17</definedName>
    <definedName name="TargetBENodes">'Backend Load Calculation'!$E$3</definedName>
    <definedName name="TargetBERegr">'Backend Load Calculation'!$E$2</definedName>
    <definedName name="TargetCassandraHight">Data!$C$38</definedName>
    <definedName name="TargetCassandraInternal">Data!$C$39</definedName>
    <definedName name="TargetCassandraNormal">Data!$C$37</definedName>
    <definedName name="TargetFENodes">'Frontend Load Calculation'!$B$20</definedName>
    <definedName name="TargetNumberShadrs">Data!$A$36</definedName>
    <definedName name="TimeForPartion">TimeUnits!$C$13</definedName>
    <definedName name="TimeUnit">TimeUnits!$A$1:$A$5</definedName>
    <definedName name="VisitsPerHour">Main!$F$5</definedName>
    <definedName name="VisitsPerSecond">'Frontend Load Calculation'!$B$2</definedName>
    <definedName name="VisitsPerSecondStdDev">'Frontend Load Calculation'!$B$4</definedName>
    <definedName name="YearToMonth">Data!$B$10</definedName>
  </definedNames>
  <calcPr calcId="152511"/>
</workbook>
</file>

<file path=xl/calcChain.xml><?xml version="1.0" encoding="utf-8"?>
<calcChain xmlns="http://schemas.openxmlformats.org/spreadsheetml/2006/main">
  <c r="C9" i="7" l="1"/>
  <c r="B10" i="7"/>
  <c r="B9" i="7"/>
  <c r="B8" i="7"/>
  <c r="B7" i="7"/>
  <c r="C15" i="10"/>
  <c r="B17" i="10"/>
  <c r="B16" i="10"/>
  <c r="B15" i="10"/>
  <c r="B14" i="10"/>
  <c r="C9" i="10"/>
  <c r="B5" i="10"/>
  <c r="B3" i="10"/>
  <c r="B11" i="10"/>
  <c r="B9" i="10"/>
  <c r="F18" i="1"/>
  <c r="C25" i="6"/>
  <c r="A28" i="1"/>
  <c r="A28" i="6"/>
  <c r="A25" i="1" l="1"/>
  <c r="H9" i="9" l="1"/>
  <c r="G9" i="9"/>
  <c r="B3" i="9"/>
  <c r="B2" i="9"/>
  <c r="B1" i="9"/>
  <c r="C8" i="2" l="1"/>
  <c r="D8" i="2"/>
  <c r="C10" i="6" l="1"/>
  <c r="C16" i="6" l="1"/>
  <c r="C24" i="6"/>
  <c r="A27" i="1"/>
  <c r="D9" i="6" l="1"/>
  <c r="C8" i="6"/>
  <c r="C9" i="6" l="1"/>
  <c r="A26" i="1"/>
  <c r="D14" i="6" l="1"/>
  <c r="F12" i="2"/>
  <c r="D15" i="6" l="1"/>
  <c r="C15" i="6"/>
  <c r="C14" i="6"/>
  <c r="E10" i="2"/>
  <c r="B36" i="1"/>
  <c r="B7" i="4" l="1"/>
  <c r="C7" i="4" s="1"/>
  <c r="B6" i="4"/>
  <c r="C6" i="4" l="1"/>
  <c r="G8" i="2" s="1"/>
  <c r="F8" i="2"/>
  <c r="C2" i="2" l="1"/>
  <c r="B13" i="3"/>
  <c r="B2" i="3"/>
  <c r="B4" i="3" s="1"/>
  <c r="C3" i="2"/>
  <c r="B14" i="5"/>
  <c r="C4" i="2"/>
  <c r="B3" i="3"/>
  <c r="B11" i="2"/>
  <c r="B11" i="4"/>
  <c r="B10" i="4"/>
  <c r="B9" i="4"/>
  <c r="C5" i="2" l="1"/>
  <c r="B5" i="3"/>
  <c r="B6" i="3" s="1"/>
  <c r="B8" i="3"/>
  <c r="B16" i="3" s="1"/>
  <c r="E6" i="5" s="1"/>
  <c r="E7" i="5" s="1"/>
  <c r="E8" i="5" s="1"/>
  <c r="C36" i="1" l="1"/>
  <c r="D9" i="9"/>
  <c r="D10" i="9" s="1"/>
  <c r="D11" i="9" s="1"/>
  <c r="F9" i="9"/>
  <c r="C21" i="2"/>
  <c r="E21" i="2" s="1"/>
  <c r="B7" i="3"/>
  <c r="B15" i="3" s="1"/>
  <c r="B18" i="3" s="1"/>
  <c r="F19" i="1" l="1"/>
  <c r="C36" i="4"/>
  <c r="F12" i="8"/>
  <c r="D20" i="3"/>
  <c r="E2" i="5"/>
  <c r="E3" i="5" s="1"/>
  <c r="E4" i="5" s="1"/>
  <c r="C39" i="4" l="1"/>
  <c r="B20" i="3" s="1"/>
  <c r="C38" i="4"/>
  <c r="F27" i="1" s="1"/>
  <c r="C37" i="4"/>
  <c r="C12" i="2" l="1"/>
  <c r="C13" i="2" s="1"/>
  <c r="F26" i="1"/>
  <c r="G12" i="2"/>
  <c r="F13" i="2"/>
  <c r="B22" i="3"/>
  <c r="F21" i="1" l="1"/>
  <c r="G21" i="1" s="1"/>
  <c r="C14" i="2"/>
  <c r="C15" i="2"/>
  <c r="D36" i="1" l="1"/>
  <c r="G36" i="1" s="1"/>
  <c r="F23" i="1"/>
  <c r="F36" i="1" l="1"/>
  <c r="E36" i="1"/>
</calcChain>
</file>

<file path=xl/sharedStrings.xml><?xml version="1.0" encoding="utf-8"?>
<sst xmlns="http://schemas.openxmlformats.org/spreadsheetml/2006/main" count="171" uniqueCount="159">
  <si>
    <t>Average visits per hour</t>
  </si>
  <si>
    <t>Max visits per hour</t>
  </si>
  <si>
    <t>Average number of business events per page</t>
  </si>
  <si>
    <t>Average % of user events (UserInfo, SignIn, SignOut) per visit</t>
  </si>
  <si>
    <t>Hour</t>
  </si>
  <si>
    <t>Day</t>
  </si>
  <si>
    <t>Week</t>
  </si>
  <si>
    <t>Month</t>
  </si>
  <si>
    <t>Year</t>
  </si>
  <si>
    <t>Events per page</t>
  </si>
  <si>
    <t>Events per visit</t>
  </si>
  <si>
    <t>Events per hour</t>
  </si>
  <si>
    <t>non compressed</t>
  </si>
  <si>
    <t>compressed</t>
  </si>
  <si>
    <t>Disk space per hour</t>
  </si>
  <si>
    <t>Per day</t>
  </si>
  <si>
    <t>Per week</t>
  </si>
  <si>
    <t>Load estimation</t>
  </si>
  <si>
    <t>Visits per second</t>
  </si>
  <si>
    <t>Pages per visit</t>
  </si>
  <si>
    <t>Events</t>
  </si>
  <si>
    <t>non-event requests per page</t>
  </si>
  <si>
    <t>non-event requests per visit</t>
  </si>
  <si>
    <t>Requests per second</t>
  </si>
  <si>
    <t>Target nodes size</t>
  </si>
  <si>
    <t>Backend limits and data</t>
  </si>
  <si>
    <t>Minimal number of BE nodes</t>
  </si>
  <si>
    <t>Data size per event</t>
  </si>
  <si>
    <t>no compr</t>
  </si>
  <si>
    <t>compr</t>
  </si>
  <si>
    <t>no categories</t>
  </si>
  <si>
    <t>1 category</t>
  </si>
  <si>
    <t>2 categories</t>
  </si>
  <si>
    <t>(VisitStarted)</t>
  </si>
  <si>
    <t>Number of events per page by default</t>
  </si>
  <si>
    <t>(PageEntered+PageExited)</t>
  </si>
  <si>
    <t>Frontend limits</t>
  </si>
  <si>
    <t>Minimal number of FE nodes</t>
  </si>
  <si>
    <t/>
  </si>
  <si>
    <t>Recommended deployment options</t>
  </si>
  <si>
    <t>Genesys WebEngagement sizing calculator</t>
  </si>
  <si>
    <t>Estimated peak requests per second</t>
  </si>
  <si>
    <t>Recommendations</t>
  </si>
  <si>
    <t>Target Backend Nodes count</t>
  </si>
  <si>
    <t>Replication factor</t>
  </si>
  <si>
    <t>Avg event size</t>
  </si>
  <si>
    <t>Single node</t>
  </si>
  <si>
    <t>Per 2 month</t>
  </si>
  <si>
    <t>ByteToGb</t>
  </si>
  <si>
    <t>Year to Month</t>
  </si>
  <si>
    <t>Seconds in Hour</t>
  </si>
  <si>
    <t>Total database size, compression enabled, Gb</t>
  </si>
  <si>
    <t>Maximum FE Size</t>
  </si>
  <si>
    <t>Average page views per visit</t>
  </si>
  <si>
    <t>Visits per seconds std dev</t>
  </si>
  <si>
    <t>Pages per hour</t>
  </si>
  <si>
    <t>Maximum FE RPS</t>
  </si>
  <si>
    <t>Java options</t>
  </si>
  <si>
    <t>Java version</t>
  </si>
  <si>
    <t>Recommended Software Configuration</t>
  </si>
  <si>
    <t>RAM</t>
  </si>
  <si>
    <t>CPU</t>
  </si>
  <si>
    <t>Disk size</t>
  </si>
  <si>
    <t>recommended</t>
  </si>
  <si>
    <t>minimal</t>
  </si>
  <si>
    <t>Recommended Hardware Configuration</t>
  </si>
  <si>
    <t>a</t>
  </si>
  <si>
    <t>b</t>
  </si>
  <si>
    <t>Limit for BE nodes</t>
  </si>
  <si>
    <t>Limit for FE nodes</t>
  </si>
  <si>
    <t>Adjusted</t>
  </si>
  <si>
    <t>Frontend Regression calc (a*N)</t>
  </si>
  <si>
    <t>Regression Const 1</t>
  </si>
  <si>
    <t>Regression Const 2</t>
  </si>
  <si>
    <t>Adjusted max visits per second</t>
  </si>
  <si>
    <t>Selected max visits</t>
  </si>
  <si>
    <t>Max page views per second</t>
  </si>
  <si>
    <t>Regression Const 3</t>
  </si>
  <si>
    <t>Backend Regression (cY(a*N+b)</t>
  </si>
  <si>
    <t>num of cores</t>
  </si>
  <si>
    <t>single node perf</t>
  </si>
  <si>
    <t>Max Events per second</t>
  </si>
  <si>
    <t>Avg events per second</t>
  </si>
  <si>
    <t>Avg page views per second</t>
  </si>
  <si>
    <t>Minimal Nodes Count</t>
  </si>
  <si>
    <t>single core</t>
  </si>
  <si>
    <t>Minimal load regression</t>
  </si>
  <si>
    <t>Target load regression</t>
  </si>
  <si>
    <t>Cassandra</t>
  </si>
  <si>
    <t>Embeded</t>
  </si>
  <si>
    <t>External</t>
  </si>
  <si>
    <t>Disk space consumption</t>
  </si>
  <si>
    <t>Java version 1.7 or higher, 64-Bit Server VM</t>
  </si>
  <si>
    <t>Recommended number of shards</t>
  </si>
  <si>
    <t>Number shards per node minimal</t>
  </si>
  <si>
    <t>Number shards per node hight</t>
  </si>
  <si>
    <t>Number shards per node internal</t>
  </si>
  <si>
    <t>Performance of shard external</t>
  </si>
  <si>
    <t>Performance of shard internal</t>
  </si>
  <si>
    <t>Target number shards</t>
  </si>
  <si>
    <t>Target count cassandra nodes normal</t>
  </si>
  <si>
    <t>Target count cassandra nodes hight</t>
  </si>
  <si>
    <t>Target count cassandra nodes inntenal</t>
  </si>
  <si>
    <t>Old</t>
  </si>
  <si>
    <t>old</t>
  </si>
  <si>
    <t>ElasticEventSize</t>
  </si>
  <si>
    <t>Recommended number of GWE nodes</t>
  </si>
  <si>
    <t>Cassandra replication factor</t>
  </si>
  <si>
    <t>Hardware profile for GWE server node</t>
  </si>
  <si>
    <t>Hardware profile for Cassandra server node</t>
  </si>
  <si>
    <t>Initial heap size (Xms) equals Maximum heap size (Xmx)</t>
  </si>
  <si>
    <t>Java heap for Cassandra</t>
  </si>
  <si>
    <t>Java heap for GWE server</t>
  </si>
  <si>
    <t>OS version for GWE</t>
  </si>
  <si>
    <t>OS version for external Cassandra</t>
  </si>
  <si>
    <t>Data Transfer:</t>
  </si>
  <si>
    <t>EventSizeCat0Compr1+EventSizeCat0Compr1*(CassandraRF-1)/IF(TargetCassandraNormal&lt;MinimalBENodes,MinimalBENodes,TargetCassandraNormal)+C9</t>
  </si>
  <si>
    <t>old AvgEventSizeCompressedNew</t>
  </si>
  <si>
    <t>EventsPerHour</t>
  </si>
  <si>
    <t>in second</t>
  </si>
  <si>
    <t>Linux RHEL 5+ x64</t>
  </si>
  <si>
    <t>Linux RHEL 5+ x64, Windows Server 2008 R2+ x64</t>
  </si>
  <si>
    <t>Genesys Analytic and Reporting Platform</t>
  </si>
  <si>
    <t>Retention time</t>
  </si>
  <si>
    <t>Time units</t>
  </si>
  <si>
    <t>sec</t>
  </si>
  <si>
    <t>min</t>
  </si>
  <si>
    <t>hour</t>
  </si>
  <si>
    <t>day</t>
  </si>
  <si>
    <t>month</t>
  </si>
  <si>
    <t>Recommendat deployment options</t>
  </si>
  <si>
    <t>Number of stored events</t>
  </si>
  <si>
    <t>Cycle job task (sec)</t>
  </si>
  <si>
    <t>Time for partition</t>
  </si>
  <si>
    <t>Count row in partition</t>
  </si>
  <si>
    <t>Parallel partions</t>
  </si>
  <si>
    <t>Number of full scan</t>
  </si>
  <si>
    <t>The frequency of updating (min)</t>
  </si>
  <si>
    <t>ReadCacheevere1million</t>
  </si>
  <si>
    <t>Cassandra consistency level is LOCAL_QUORUM (for both read and write)</t>
  </si>
  <si>
    <t>3 if you have less than 10 nodes per data center
5 if you have 10 and more nodes per data center</t>
  </si>
  <si>
    <t>Recommendation for Cassandra replication factor</t>
  </si>
  <si>
    <t>Port</t>
  </si>
  <si>
    <t>Number of events per second</t>
  </si>
  <si>
    <t>intra-region</t>
  </si>
  <si>
    <t>inter-region</t>
  </si>
  <si>
    <t>The numbers were calculated for 1000 events per day in kbytes</t>
  </si>
  <si>
    <t>Calculated with replication</t>
  </si>
  <si>
    <t>For the current load in Gb/day</t>
  </si>
  <si>
    <t>Type of data transfer</t>
  </si>
  <si>
    <t>Input events (port 9081)</t>
  </si>
  <si>
    <t>Cassandra native protocol (port 9042)</t>
  </si>
  <si>
    <t>Cassandra cluster communication (port 7000)</t>
  </si>
  <si>
    <t>Elasticsearch cluster communication (port 9300)</t>
  </si>
  <si>
    <t>Region-specific traffic
Gb/day</t>
  </si>
  <si>
    <t>Inter-region traffic
Gb/day</t>
  </si>
  <si>
    <t>Minimum GDPS nodes</t>
  </si>
  <si>
    <t>Recommended number of GDPS nodes</t>
  </si>
  <si>
    <t>Specifies the time to live (TTL) in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</si>
</sst>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;;;"/>
    <numFmt numFmtId="166" formatCode="0.0000"/>
  </numFmts>
  <fonts count="16" x14ac:knownFonts="1">
    <font>
      <sz val="10"/>
      <color rgb="FF000000"/>
      <name val="Arial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C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name val="Arial"/>
      <family val="2"/>
      <charset val="204"/>
    </font>
    <font>
      <sz val="14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9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Protection="1"/>
    <xf numFmtId="1" fontId="0" fillId="0" borderId="0" xfId="0" applyNumberFormat="1" applyProtection="1"/>
    <xf numFmtId="0" fontId="6" fillId="0" borderId="0" xfId="0" applyFont="1" applyAlignment="1" applyProtection="1">
      <alignment horizontal="left"/>
    </xf>
    <xf numFmtId="2" fontId="0" fillId="0" borderId="1" xfId="0" applyNumberFormat="1" applyBorder="1" applyAlignment="1" applyProtection="1">
      <alignment horizontal="center"/>
    </xf>
    <xf numFmtId="0" fontId="0" fillId="0" borderId="0" xfId="0" applyAlignment="1" applyProtection="1"/>
    <xf numFmtId="0" fontId="4" fillId="3" borderId="0" xfId="0" applyFont="1" applyFill="1" applyProtection="1">
      <protection locked="0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 applyFill="1" applyAlignment="1" applyProtection="1"/>
    <xf numFmtId="2" fontId="4" fillId="3" borderId="0" xfId="0" applyNumberFormat="1" applyFont="1" applyFill="1" applyProtection="1">
      <protection locked="0"/>
    </xf>
    <xf numFmtId="0" fontId="9" fillId="0" borderId="0" xfId="0" applyFont="1" applyAlignment="1" applyProtection="1"/>
    <xf numFmtId="0" fontId="10" fillId="0" borderId="0" xfId="2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 applyAlignment="1">
      <alignment wrapText="1"/>
    </xf>
    <xf numFmtId="0" fontId="0" fillId="0" borderId="0" xfId="0" applyAlignment="1" applyProtection="1">
      <alignment horizontal="left"/>
    </xf>
    <xf numFmtId="0" fontId="4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1" fillId="0" borderId="0" xfId="0" applyFont="1" applyAlignment="1"/>
    <xf numFmtId="0" fontId="11" fillId="0" borderId="0" xfId="0" applyFont="1" applyAlignment="1"/>
    <xf numFmtId="0" fontId="4" fillId="0" borderId="0" xfId="0" applyFont="1" applyAlignment="1" applyProtection="1">
      <alignment horizontal="left"/>
    </xf>
    <xf numFmtId="0" fontId="4" fillId="0" borderId="0" xfId="0" applyFont="1" applyAlignment="1">
      <alignment wrapText="1"/>
    </xf>
    <xf numFmtId="1" fontId="0" fillId="0" borderId="0" xfId="0" applyNumberFormat="1" applyAlignment="1" applyProtection="1">
      <alignment wrapText="1"/>
    </xf>
    <xf numFmtId="0" fontId="12" fillId="0" borderId="0" xfId="0" applyFont="1" applyAlignment="1" applyProtection="1"/>
    <xf numFmtId="0" fontId="12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5" fillId="0" borderId="0" xfId="0" applyFont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3" borderId="0" xfId="0" applyFill="1" applyAlignment="1" applyProtection="1">
      <alignment wrapText="1"/>
      <protection locked="0"/>
    </xf>
    <xf numFmtId="165" fontId="4" fillId="2" borderId="0" xfId="1" applyNumberFormat="1" applyFont="1" applyFill="1" applyProtection="1">
      <protection hidden="1"/>
    </xf>
    <xf numFmtId="165" fontId="5" fillId="2" borderId="0" xfId="0" applyNumberFormat="1" applyFont="1" applyFill="1" applyBorder="1" applyAlignment="1" applyProtection="1"/>
    <xf numFmtId="0" fontId="4" fillId="0" borderId="0" xfId="2" applyAlignment="1" applyProtection="1">
      <alignment wrapText="1"/>
    </xf>
    <xf numFmtId="0" fontId="3" fillId="0" borderId="0" xfId="2" applyFont="1" applyBorder="1" applyAlignment="1" applyProtection="1">
      <alignment horizontal="left"/>
    </xf>
    <xf numFmtId="0" fontId="2" fillId="0" borderId="0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4" fillId="0" borderId="0" xfId="2" applyAlignment="1" applyProtection="1"/>
    <xf numFmtId="0" fontId="4" fillId="0" borderId="1" xfId="0" applyFont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4" fillId="0" borderId="3" xfId="2" applyBorder="1" applyAlignment="1" applyProtection="1">
      <alignment wrapText="1"/>
    </xf>
    <xf numFmtId="0" fontId="2" fillId="0" borderId="3" xfId="2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0" xfId="0" applyFont="1" applyAlignment="1" applyProtection="1"/>
    <xf numFmtId="0" fontId="2" fillId="0" borderId="0" xfId="2" applyFont="1" applyAlignment="1" applyProtection="1"/>
    <xf numFmtId="0" fontId="4" fillId="0" borderId="0" xfId="2" applyFont="1" applyAlignment="1" applyProtection="1">
      <alignment wrapText="1"/>
    </xf>
    <xf numFmtId="0" fontId="4" fillId="0" borderId="0" xfId="2" applyAlignment="1" applyProtection="1">
      <alignment vertical="center" wrapText="1"/>
    </xf>
    <xf numFmtId="0" fontId="0" fillId="0" borderId="0" xfId="0" applyBorder="1" applyProtection="1"/>
    <xf numFmtId="2" fontId="0" fillId="0" borderId="0" xfId="0" applyNumberFormat="1" applyBorder="1" applyAlignment="1" applyProtection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/>
    <xf numFmtId="0" fontId="0" fillId="0" borderId="3" xfId="0" applyBorder="1" applyAlignment="1">
      <alignment wrapText="1"/>
    </xf>
    <xf numFmtId="0" fontId="0" fillId="0" borderId="0" xfId="0"/>
    <xf numFmtId="1" fontId="0" fillId="3" borderId="0" xfId="0" applyNumberFormat="1" applyFill="1" applyAlignment="1" applyProtection="1">
      <alignment wrapText="1"/>
      <protection locked="0"/>
    </xf>
    <xf numFmtId="3" fontId="0" fillId="0" borderId="0" xfId="0" applyNumberFormat="1" applyAlignment="1">
      <alignment wrapText="1"/>
    </xf>
    <xf numFmtId="0" fontId="2" fillId="0" borderId="0" xfId="0" applyFont="1" applyAlignment="1" applyProtection="1">
      <alignment horizontal="left" wrapText="1"/>
    </xf>
    <xf numFmtId="0" fontId="0" fillId="0" borderId="0" xfId="0" applyFill="1" applyAlignment="1" applyProtection="1">
      <alignment wrapText="1"/>
    </xf>
    <xf numFmtId="0" fontId="4" fillId="0" borderId="0" xfId="2" applyAlignment="1" applyProtection="1">
      <alignment horizontal="left" wrapText="1"/>
    </xf>
    <xf numFmtId="0" fontId="15" fillId="0" borderId="0" xfId="0" applyFont="1" applyAlignment="1" applyProtection="1">
      <alignment horizontal="left"/>
    </xf>
    <xf numFmtId="0" fontId="14" fillId="0" borderId="0" xfId="2" applyFont="1" applyBorder="1" applyAlignment="1" applyProtection="1">
      <alignment horizontal="left"/>
    </xf>
    <xf numFmtId="0" fontId="14" fillId="0" borderId="0" xfId="0" applyFont="1" applyAlignment="1" applyProtection="1"/>
    <xf numFmtId="0" fontId="14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horizontal="left" wrapText="1"/>
    </xf>
    <xf numFmtId="1" fontId="4" fillId="0" borderId="0" xfId="0" applyNumberFormat="1" applyFont="1" applyAlignment="1" applyProtection="1"/>
    <xf numFmtId="0" fontId="11" fillId="0" borderId="0" xfId="0" applyFont="1" applyAlignment="1">
      <alignment wrapText="1"/>
    </xf>
    <xf numFmtId="166" fontId="0" fillId="0" borderId="0" xfId="0" applyNumberFormat="1" applyAlignment="1">
      <alignment wrapText="1"/>
    </xf>
    <xf numFmtId="2" fontId="11" fillId="0" borderId="1" xfId="0" applyNumberFormat="1" applyFont="1" applyBorder="1" applyAlignment="1" applyProtection="1">
      <alignment horizontal="left"/>
    </xf>
    <xf numFmtId="0" fontId="3" fillId="0" borderId="0" xfId="0" applyFont="1" applyBorder="1" applyAlignment="1" applyProtection="1"/>
    <xf numFmtId="2" fontId="0" fillId="0" borderId="1" xfId="0" applyNumberFormat="1" applyBorder="1" applyAlignment="1" applyProtection="1">
      <alignment horizontal="right"/>
    </xf>
    <xf numFmtId="0" fontId="11" fillId="0" borderId="1" xfId="0" applyFont="1" applyBorder="1" applyAlignment="1"/>
    <xf numFmtId="2" fontId="0" fillId="0" borderId="1" xfId="0" applyNumberFormat="1" applyBorder="1" applyAlignment="1">
      <alignment horizontal="right"/>
    </xf>
    <xf numFmtId="0" fontId="11" fillId="0" borderId="1" xfId="0" applyFont="1" applyFill="1" applyBorder="1" applyAlignment="1"/>
    <xf numFmtId="0" fontId="5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5" fillId="0" borderId="0" xfId="0" applyFont="1" applyAlignment="1" applyProtection="1"/>
    <xf numFmtId="0" fontId="5" fillId="0" borderId="0" xfId="0" applyFont="1" applyProtection="1"/>
    <xf numFmtId="165" fontId="5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5" fillId="0" borderId="1" xfId="0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wrapText="1"/>
    </xf>
    <xf numFmtId="0" fontId="4" fillId="0" borderId="5" xfId="2" applyBorder="1" applyAlignment="1" applyProtection="1">
      <alignment horizontal="left" vertical="center" wrapText="1"/>
    </xf>
    <xf numFmtId="0" fontId="4" fillId="0" borderId="6" xfId="2" applyBorder="1" applyAlignment="1" applyProtection="1">
      <alignment horizontal="left" vertical="center" wrapText="1"/>
    </xf>
    <xf numFmtId="0" fontId="4" fillId="0" borderId="5" xfId="2" applyBorder="1" applyAlignment="1" applyProtection="1">
      <alignment horizontal="center" wrapText="1"/>
    </xf>
    <xf numFmtId="0" fontId="4" fillId="0" borderId="6" xfId="2" applyBorder="1" applyAlignment="1" applyProtection="1">
      <alignment horizontal="center" wrapText="1"/>
    </xf>
    <xf numFmtId="0" fontId="3" fillId="0" borderId="3" xfId="2" applyFont="1" applyBorder="1" applyAlignment="1" applyProtection="1">
      <alignment horizontal="left"/>
    </xf>
    <xf numFmtId="0" fontId="2" fillId="0" borderId="4" xfId="2" applyFont="1" applyBorder="1" applyAlignment="1" applyProtection="1">
      <alignment horizontal="left"/>
    </xf>
    <xf numFmtId="0" fontId="4" fillId="0" borderId="4" xfId="2" applyBorder="1" applyAlignment="1" applyProtection="1">
      <alignment horizontal="center"/>
    </xf>
    <xf numFmtId="0" fontId="4" fillId="0" borderId="0" xfId="2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4" fillId="0" borderId="0" xfId="2" applyNumberFormat="1" applyBorder="1" applyAlignment="1" applyProtection="1">
      <alignment horizontal="left" wrapText="1"/>
    </xf>
    <xf numFmtId="0" fontId="4" fillId="0" borderId="1" xfId="2" applyNumberFormat="1" applyBorder="1" applyAlignment="1" applyProtection="1">
      <alignment horizontal="center" wrapText="1"/>
    </xf>
    <xf numFmtId="0" fontId="4" fillId="0" borderId="0" xfId="2" applyAlignment="1" applyProtection="1">
      <alignment horizontal="left"/>
    </xf>
    <xf numFmtId="0" fontId="2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0" fillId="3" borderId="0" xfId="0" applyFill="1" applyAlignment="1" applyProtection="1">
      <alignment horizontal="right" wrapText="1"/>
      <protection locked="0" hidden="1"/>
    </xf>
  </cellXfs>
  <cellStyles count="4">
    <cellStyle name="Normal" xfId="0" builtinId="0"/>
    <cellStyle name="Percent" xfId="1" builtinId="5"/>
    <cellStyle name="Обычный 2" xfId="2"/>
    <cellStyle name="Процентный 2" xfId="3"/>
  </cellStyles>
  <dxfs count="5"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CassandraConnect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563880</xdr:colOff>
          <xdr:row>2</xdr:row>
          <xdr:rowOff>114300</xdr:rowOff>
        </xdr:from>
        <xdr:to>
          <xdr:col>4</xdr:col>
          <xdr:colOff>68580</xdr:colOff>
          <xdr:row>4</xdr:row>
          <xdr:rowOff>22860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510540</xdr:colOff>
          <xdr:row>2</xdr:row>
          <xdr:rowOff>114300</xdr:rowOff>
        </xdr:from>
        <xdr:to>
          <xdr:col>3</xdr:col>
          <xdr:colOff>137160</xdr:colOff>
          <xdr:row>4</xdr:row>
          <xdr:rowOff>22860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/>
  <dimension ref="A1:I48"/>
  <sheetViews>
    <sheetView showGridLines="0" tabSelected="1" zoomScaleNormal="100" workbookViewId="0">
      <selection activeCell="F5" sqref="F5"/>
    </sheetView>
  </sheetViews>
  <sheetFormatPr defaultColWidth="17.109375" defaultRowHeight="12.75" customHeight="1" x14ac:dyDescent="0.25"/>
  <cols>
    <col min="1" max="1" width="11.109375" style="9" customWidth="1"/>
    <col min="2" max="2" width="7.5546875" style="9" customWidth="1"/>
    <col min="3" max="3" width="11" style="9" customWidth="1"/>
    <col min="4" max="4" width="16.109375" style="9" customWidth="1"/>
    <col min="5" max="5" width="14.88671875" style="9" customWidth="1"/>
    <col min="6" max="6" width="16.5546875" style="9" customWidth="1"/>
    <col min="7" max="7" width="19.33203125" style="9" customWidth="1"/>
    <col min="8" max="8" width="12.109375" style="9" customWidth="1"/>
    <col min="9" max="9" width="30.33203125" style="9" customWidth="1"/>
    <col min="10" max="10" width="17.109375" style="9"/>
    <col min="11" max="11" width="10.6640625" style="9" customWidth="1"/>
    <col min="12" max="16384" width="17.109375" style="9"/>
  </cols>
  <sheetData>
    <row r="1" spans="1:9" ht="10.5" customHeight="1" x14ac:dyDescent="0.25">
      <c r="A1" s="94" t="s">
        <v>40</v>
      </c>
      <c r="B1" s="94"/>
      <c r="C1" s="94"/>
      <c r="D1" s="94"/>
      <c r="E1" s="94"/>
      <c r="F1" s="94"/>
      <c r="G1" s="94"/>
      <c r="H1" s="8"/>
    </row>
    <row r="2" spans="1:9" ht="10.5" customHeight="1" x14ac:dyDescent="0.35">
      <c r="A2" s="94"/>
      <c r="B2" s="94"/>
      <c r="C2" s="94"/>
      <c r="D2" s="94"/>
      <c r="E2" s="94"/>
      <c r="F2" s="94"/>
      <c r="G2" s="94"/>
      <c r="H2" s="40"/>
    </row>
    <row r="3" spans="1:9" ht="12" customHeight="1" thickBot="1" x14ac:dyDescent="0.4">
      <c r="A3" s="95"/>
      <c r="B3" s="95"/>
      <c r="C3" s="95"/>
      <c r="D3" s="95"/>
      <c r="E3" s="95"/>
      <c r="F3" s="95"/>
      <c r="G3" s="95"/>
      <c r="H3" s="40"/>
    </row>
    <row r="4" spans="1:9" ht="12" customHeight="1" x14ac:dyDescent="0.25">
      <c r="A4" s="10"/>
    </row>
    <row r="5" spans="1:9" ht="12.75" customHeight="1" x14ac:dyDescent="0.25">
      <c r="A5" s="98" t="s">
        <v>0</v>
      </c>
      <c r="B5" s="98"/>
      <c r="C5" s="98"/>
      <c r="D5" s="98"/>
      <c r="F5" s="16">
        <v>50000</v>
      </c>
      <c r="G5" s="21"/>
      <c r="H5" s="11"/>
      <c r="I5" s="11"/>
    </row>
    <row r="6" spans="1:9" ht="12.75" customHeight="1" x14ac:dyDescent="0.25">
      <c r="A6" s="98" t="s">
        <v>53</v>
      </c>
      <c r="B6" s="98"/>
      <c r="C6" s="98"/>
      <c r="D6" s="98"/>
      <c r="F6" s="22">
        <v>5</v>
      </c>
      <c r="G6" s="21"/>
      <c r="H6" s="11"/>
    </row>
    <row r="7" spans="1:9" ht="12.75" customHeight="1" x14ac:dyDescent="0.25">
      <c r="A7" s="39" t="s">
        <v>1</v>
      </c>
      <c r="B7" s="39"/>
      <c r="C7" s="39"/>
      <c r="D7" s="39"/>
      <c r="F7" s="16">
        <v>100000</v>
      </c>
      <c r="G7" s="21"/>
      <c r="H7" s="11"/>
    </row>
    <row r="8" spans="1:9" ht="6" customHeight="1" x14ac:dyDescent="0.25">
      <c r="F8" s="10"/>
      <c r="G8" s="11"/>
      <c r="H8" s="11"/>
    </row>
    <row r="9" spans="1:9" ht="14.25" customHeight="1" x14ac:dyDescent="0.25">
      <c r="A9" s="99" t="s">
        <v>2</v>
      </c>
      <c r="B9" s="99"/>
      <c r="C9" s="99"/>
      <c r="D9" s="99"/>
      <c r="F9" s="16">
        <v>1</v>
      </c>
      <c r="G9" s="11"/>
      <c r="H9" s="11"/>
    </row>
    <row r="10" spans="1:9" ht="2.25" customHeight="1" x14ac:dyDescent="0.25">
      <c r="A10" s="100" t="s">
        <v>3</v>
      </c>
      <c r="B10" s="100"/>
      <c r="C10" s="100"/>
      <c r="D10" s="100"/>
      <c r="E10" s="100"/>
      <c r="F10" s="47">
        <v>0.05</v>
      </c>
    </row>
    <row r="11" spans="1:9" ht="3" customHeight="1" x14ac:dyDescent="0.25">
      <c r="I11" s="11"/>
    </row>
    <row r="12" spans="1:9" ht="15.75" customHeight="1" x14ac:dyDescent="0.25">
      <c r="A12" s="103" t="s">
        <v>107</v>
      </c>
      <c r="B12" s="103"/>
      <c r="C12" s="103"/>
      <c r="D12" s="103"/>
      <c r="E12" s="103"/>
      <c r="F12" s="46">
        <v>3</v>
      </c>
      <c r="I12" s="11"/>
    </row>
    <row r="13" spans="1:9" ht="15.75" customHeight="1" x14ac:dyDescent="0.25">
      <c r="A13" s="79" t="s">
        <v>139</v>
      </c>
      <c r="B13" s="76"/>
      <c r="C13" s="76"/>
      <c r="D13" s="76"/>
      <c r="E13" s="76"/>
      <c r="F13" s="77"/>
      <c r="I13" s="11"/>
    </row>
    <row r="14" spans="1:9" ht="15.75" customHeight="1" x14ac:dyDescent="0.35">
      <c r="A14" s="96" t="s">
        <v>39</v>
      </c>
      <c r="B14" s="96"/>
      <c r="C14" s="96"/>
      <c r="D14" s="96"/>
      <c r="E14" s="96"/>
      <c r="F14" s="96"/>
      <c r="G14" s="96"/>
      <c r="H14" s="41"/>
      <c r="I14" s="11"/>
    </row>
    <row r="15" spans="1:9" ht="15.75" customHeight="1" x14ac:dyDescent="0.35">
      <c r="A15" s="96"/>
      <c r="B15" s="96"/>
      <c r="C15" s="96"/>
      <c r="D15" s="96"/>
      <c r="E15" s="96"/>
      <c r="F15" s="96"/>
      <c r="G15" s="96"/>
      <c r="H15" s="41"/>
      <c r="I15" s="11"/>
    </row>
    <row r="16" spans="1:9" ht="15.75" customHeight="1" x14ac:dyDescent="0.35">
      <c r="A16" s="97"/>
      <c r="B16" s="97"/>
      <c r="C16" s="97"/>
      <c r="D16" s="97"/>
      <c r="E16" s="97"/>
      <c r="F16" s="97"/>
      <c r="G16" s="97"/>
      <c r="H16" s="41"/>
      <c r="I16" s="11"/>
    </row>
    <row r="17" spans="1:9" ht="4.8" customHeight="1" x14ac:dyDescent="0.35">
      <c r="A17" s="83"/>
      <c r="B17" s="83"/>
      <c r="C17" s="83"/>
      <c r="D17" s="83"/>
      <c r="E17" s="83"/>
      <c r="F17" s="83"/>
      <c r="G17" s="83"/>
      <c r="H17" s="83"/>
      <c r="I17" s="11"/>
    </row>
    <row r="18" spans="1:9" ht="15.75" customHeight="1" x14ac:dyDescent="0.35">
      <c r="A18" s="102" t="s">
        <v>143</v>
      </c>
      <c r="B18" s="102"/>
      <c r="C18" s="102"/>
      <c r="D18" s="102"/>
      <c r="E18" s="63"/>
      <c r="F18" s="84">
        <f>AvgEventsPerSecond</f>
        <v>222.91666666666666</v>
      </c>
      <c r="G18" s="63"/>
      <c r="H18" s="41"/>
      <c r="I18" s="11"/>
    </row>
    <row r="19" spans="1:9" ht="13.5" customHeight="1" x14ac:dyDescent="0.25">
      <c r="A19" s="102" t="s">
        <v>41</v>
      </c>
      <c r="B19" s="102"/>
      <c r="C19" s="102"/>
      <c r="D19" s="102"/>
      <c r="F19" s="12">
        <f>RequestsPerSecond</f>
        <v>633.93376173135937</v>
      </c>
      <c r="G19" s="35"/>
      <c r="I19" s="11"/>
    </row>
    <row r="20" spans="1:9" ht="4.5" customHeight="1" x14ac:dyDescent="0.25">
      <c r="A20" s="43"/>
      <c r="B20" s="28"/>
      <c r="C20" s="28"/>
      <c r="D20" s="28"/>
      <c r="F20" s="12"/>
      <c r="I20" s="11"/>
    </row>
    <row r="21" spans="1:9" ht="15.75" customHeight="1" x14ac:dyDescent="0.25">
      <c r="A21" s="101" t="s">
        <v>106</v>
      </c>
      <c r="B21" s="101"/>
      <c r="C21" s="101"/>
      <c r="D21" s="101"/>
      <c r="F21" s="11">
        <f>IF(AdjFENodes&lt;MinimalFENodes,MinimalFENodes,AdjFENodes)</f>
        <v>2</v>
      </c>
      <c r="G21" s="23" t="str">
        <f>IF(F21&gt;10000000, "There is no guarantee that proposed cluster will be able to completely serve specified load","")</f>
        <v/>
      </c>
      <c r="I21" s="11"/>
    </row>
    <row r="22" spans="1:9" ht="3.75" customHeight="1" x14ac:dyDescent="0.25">
      <c r="A22" s="44"/>
      <c r="B22" s="44"/>
      <c r="C22" s="44"/>
      <c r="D22" s="44"/>
      <c r="F22" s="11"/>
      <c r="G22" s="23"/>
      <c r="I22" s="11"/>
    </row>
    <row r="23" spans="1:9" ht="15.75" hidden="1" customHeight="1" x14ac:dyDescent="0.25">
      <c r="A23" s="42" t="s">
        <v>93</v>
      </c>
      <c r="B23" s="28"/>
      <c r="C23" s="28"/>
      <c r="D23" s="28"/>
      <c r="F23" s="38">
        <f>IF(CassandraConnect = 1,F27*ShardHight,F21*ShardInternal)</f>
        <v>9</v>
      </c>
      <c r="G23" s="23"/>
      <c r="I23" s="11"/>
    </row>
    <row r="24" spans="1:9" ht="3.75" customHeight="1" x14ac:dyDescent="0.25">
      <c r="A24" s="44"/>
      <c r="B24" s="28"/>
      <c r="C24" s="28"/>
      <c r="D24" s="28"/>
      <c r="F24" s="45"/>
      <c r="G24" s="23"/>
      <c r="I24" s="11"/>
    </row>
    <row r="25" spans="1:9" ht="15.75" customHeight="1" x14ac:dyDescent="0.25">
      <c r="A25" s="42" t="str">
        <f>IF(CassandraConnect = 1,"Recommended number of Cassandra nodes based on:","")</f>
        <v>Recommended number of Cassandra nodes based on:</v>
      </c>
      <c r="B25" s="43"/>
      <c r="C25" s="43"/>
      <c r="D25" s="43"/>
      <c r="F25" s="15"/>
      <c r="G25" s="37"/>
      <c r="I25" s="11"/>
    </row>
    <row r="26" spans="1:9" ht="15.75" customHeight="1" x14ac:dyDescent="0.25">
      <c r="A26" s="15" t="str">
        <f>IF(CassandraConnect = 1,"            Minimal hardware configuration (see 'Server profiles' tab)","")</f>
        <v xml:space="preserve">            Minimal hardware configuration (see 'Server profiles' tab)</v>
      </c>
      <c r="B26" s="43"/>
      <c r="C26" s="43"/>
      <c r="D26" s="43"/>
      <c r="F26" s="38">
        <f>IF(CassandraConnect = 1,IF(TargetCassandraNormal&lt;MinimalBENodes,MinimalBENodes,TargetCassandraNormal),"")</f>
        <v>3</v>
      </c>
      <c r="G26" s="37"/>
      <c r="I26" s="11"/>
    </row>
    <row r="27" spans="1:9" ht="15" customHeight="1" x14ac:dyDescent="0.25">
      <c r="A27" s="43" t="str">
        <f>IF(CassandraConnect = 1,"            Recommended hardware configuration (see 'Server profiles' tab)","")</f>
        <v xml:space="preserve">            Recommended hardware configuration (see 'Server profiles' tab)</v>
      </c>
      <c r="B27" s="43"/>
      <c r="C27" s="43"/>
      <c r="D27" s="43"/>
      <c r="F27" s="36">
        <f>IF(CassandraConnect = 1,IF(TargetCassandraHight&lt;MinimalBENodes,MinimalBENodes,TargetCassandraHight),"")</f>
        <v>3</v>
      </c>
      <c r="G27" s="82"/>
      <c r="H27" s="82"/>
      <c r="I27" s="82"/>
    </row>
    <row r="28" spans="1:9" ht="15.75" customHeight="1" x14ac:dyDescent="0.25">
      <c r="A28" s="81" t="str">
        <f>IF(CassandraConnect=1,"Sizing for more powerful hardware configuration may vary, please contact us through support or your account manager based on the planned hardware configuration","")</f>
        <v>Sizing for more powerful hardware configuration may vary, please contact us through support or your account manager based on the planned hardware configuration</v>
      </c>
      <c r="G28" s="82"/>
      <c r="H28" s="82"/>
      <c r="I28" s="82"/>
    </row>
    <row r="29" spans="1:9" ht="3.75" customHeight="1" x14ac:dyDescent="0.35">
      <c r="A29" s="96" t="s">
        <v>91</v>
      </c>
      <c r="B29" s="96"/>
      <c r="C29" s="96"/>
      <c r="D29" s="96"/>
      <c r="E29" s="96"/>
      <c r="F29" s="96"/>
      <c r="G29" s="96"/>
      <c r="H29" s="41"/>
    </row>
    <row r="30" spans="1:9" ht="3" customHeight="1" x14ac:dyDescent="0.35">
      <c r="A30" s="96"/>
      <c r="B30" s="96"/>
      <c r="C30" s="96"/>
      <c r="D30" s="96"/>
      <c r="E30" s="96"/>
      <c r="F30" s="96"/>
      <c r="G30" s="96"/>
      <c r="H30" s="41"/>
    </row>
    <row r="31" spans="1:9" ht="21" customHeight="1" x14ac:dyDescent="0.35">
      <c r="A31" s="97"/>
      <c r="B31" s="97"/>
      <c r="C31" s="97"/>
      <c r="D31" s="97"/>
      <c r="E31" s="97"/>
      <c r="F31" s="97"/>
      <c r="G31" s="97"/>
      <c r="H31" s="41"/>
    </row>
    <row r="32" spans="1:9" ht="15" customHeight="1" x14ac:dyDescent="0.35">
      <c r="A32" s="41"/>
      <c r="B32" s="41"/>
      <c r="C32" s="41"/>
      <c r="D32" s="41"/>
      <c r="E32" s="41"/>
      <c r="F32" s="41"/>
      <c r="G32" s="41"/>
      <c r="H32" s="41"/>
    </row>
    <row r="33" spans="1:8" ht="12.75" customHeight="1" x14ac:dyDescent="0.25">
      <c r="A33" s="13" t="s">
        <v>51</v>
      </c>
      <c r="C33" s="15"/>
      <c r="D33" s="15"/>
      <c r="E33" s="15"/>
      <c r="F33" s="15"/>
      <c r="G33" s="15"/>
    </row>
    <row r="34" spans="1:8" ht="12.75" customHeight="1" x14ac:dyDescent="0.25">
      <c r="B34" s="105" t="s">
        <v>44</v>
      </c>
      <c r="C34" s="104" t="s">
        <v>4</v>
      </c>
      <c r="D34" s="104" t="s">
        <v>5</v>
      </c>
      <c r="E34" s="104" t="s">
        <v>6</v>
      </c>
      <c r="F34" s="104" t="s">
        <v>7</v>
      </c>
      <c r="G34" s="104" t="s">
        <v>8</v>
      </c>
    </row>
    <row r="35" spans="1:8" ht="15.75" customHeight="1" x14ac:dyDescent="0.25">
      <c r="B35" s="105"/>
      <c r="C35" s="104"/>
      <c r="D35" s="104"/>
      <c r="E35" s="104"/>
      <c r="F35" s="104"/>
      <c r="G35" s="104"/>
    </row>
    <row r="36" spans="1:8" ht="13.2" x14ac:dyDescent="0.25">
      <c r="B36" s="48">
        <f>CassandraRF</f>
        <v>3</v>
      </c>
      <c r="C36" s="14">
        <f>(EventsPerHour*AvgEventSizeCompressedNew)/ByteToGb</f>
        <v>1.8310965970158577</v>
      </c>
      <c r="D36" s="14">
        <f>C36*24</f>
        <v>43.946318328380585</v>
      </c>
      <c r="E36" s="14">
        <f>D36*7</f>
        <v>307.62422829866409</v>
      </c>
      <c r="F36" s="14">
        <f>(D36*365)/12</f>
        <v>1336.7005158215761</v>
      </c>
      <c r="G36" s="14">
        <f>D36*365</f>
        <v>16040.406189858913</v>
      </c>
    </row>
    <row r="37" spans="1:8" ht="12.75" customHeight="1" x14ac:dyDescent="0.25">
      <c r="A37" s="96"/>
      <c r="B37" s="96"/>
      <c r="C37" s="96"/>
      <c r="D37" s="96"/>
      <c r="E37" s="96"/>
      <c r="F37" s="96"/>
      <c r="G37" s="96"/>
      <c r="H37" s="11"/>
    </row>
    <row r="38" spans="1:8" ht="12.75" customHeight="1" x14ac:dyDescent="0.25">
      <c r="A38" s="96"/>
      <c r="B38" s="96"/>
      <c r="C38" s="96"/>
      <c r="D38" s="96"/>
      <c r="E38" s="96"/>
      <c r="F38" s="96"/>
      <c r="G38" s="96"/>
      <c r="H38" s="11"/>
    </row>
    <row r="39" spans="1:8" ht="12.75" customHeight="1" x14ac:dyDescent="0.25">
      <c r="A39" s="96"/>
      <c r="B39" s="96"/>
      <c r="C39" s="96"/>
      <c r="D39" s="96"/>
      <c r="E39" s="96"/>
      <c r="F39" s="96"/>
      <c r="G39" s="96"/>
      <c r="H39" s="11"/>
    </row>
    <row r="40" spans="1:8" ht="2.25" customHeight="1" x14ac:dyDescent="0.25">
      <c r="A40" s="67"/>
      <c r="B40" s="67"/>
      <c r="C40" s="8"/>
      <c r="D40" s="8"/>
      <c r="E40" s="8"/>
      <c r="F40" s="8"/>
      <c r="G40" s="8"/>
      <c r="H40" s="11"/>
    </row>
    <row r="41" spans="1:8" ht="12.75" customHeight="1" x14ac:dyDescent="0.25">
      <c r="A41" s="67"/>
      <c r="B41" s="67"/>
      <c r="C41" s="93"/>
      <c r="D41" s="93"/>
      <c r="E41" s="93"/>
      <c r="F41" s="93"/>
      <c r="G41" s="93"/>
      <c r="H41" s="11"/>
    </row>
    <row r="42" spans="1:8" ht="12.75" customHeight="1" x14ac:dyDescent="0.25">
      <c r="A42" s="67"/>
      <c r="B42" s="67"/>
      <c r="C42" s="93"/>
      <c r="D42" s="93"/>
      <c r="E42" s="93"/>
      <c r="F42" s="93"/>
      <c r="G42" s="93"/>
      <c r="H42" s="11"/>
    </row>
    <row r="43" spans="1:8" ht="12.75" customHeight="1" x14ac:dyDescent="0.25">
      <c r="A43" s="67"/>
      <c r="B43" s="67"/>
      <c r="C43" s="68"/>
      <c r="D43" s="68"/>
      <c r="E43" s="68"/>
      <c r="F43" s="68"/>
      <c r="G43" s="68"/>
      <c r="H43" s="11"/>
    </row>
    <row r="44" spans="1:8" ht="12.75" customHeight="1" x14ac:dyDescent="0.25">
      <c r="A44" s="11"/>
      <c r="B44" s="11"/>
      <c r="H44" s="11"/>
    </row>
    <row r="45" spans="1:8" ht="12.75" customHeight="1" x14ac:dyDescent="0.25">
      <c r="A45" s="11"/>
      <c r="B45" s="11"/>
      <c r="H45" s="11"/>
    </row>
    <row r="46" spans="1:8" ht="12.75" customHeight="1" x14ac:dyDescent="0.25">
      <c r="A46" s="11"/>
      <c r="B46" s="11"/>
      <c r="H46" s="11"/>
    </row>
    <row r="47" spans="1:8" ht="12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8" ht="12.75" customHeight="1" x14ac:dyDescent="0.25">
      <c r="A48" s="11"/>
      <c r="B48" s="11"/>
      <c r="C48" s="11"/>
      <c r="D48" s="11"/>
      <c r="E48" s="11"/>
      <c r="F48" s="11"/>
      <c r="G48" s="11"/>
      <c r="H48" s="11"/>
    </row>
  </sheetData>
  <sheetProtection sheet="1" objects="1" scenarios="1" selectLockedCells="1"/>
  <mergeCells count="23">
    <mergeCell ref="A37:G39"/>
    <mergeCell ref="G34:G35"/>
    <mergeCell ref="F34:F35"/>
    <mergeCell ref="E34:E35"/>
    <mergeCell ref="B34:B35"/>
    <mergeCell ref="D34:D35"/>
    <mergeCell ref="C34:C35"/>
    <mergeCell ref="A1:G3"/>
    <mergeCell ref="A14:G16"/>
    <mergeCell ref="A29:G31"/>
    <mergeCell ref="A6:D6"/>
    <mergeCell ref="A9:D9"/>
    <mergeCell ref="A10:E10"/>
    <mergeCell ref="A21:D21"/>
    <mergeCell ref="A19:D19"/>
    <mergeCell ref="A5:D5"/>
    <mergeCell ref="A12:E12"/>
    <mergeCell ref="A18:D18"/>
    <mergeCell ref="C41:C42"/>
    <mergeCell ref="D41:D42"/>
    <mergeCell ref="E41:E42"/>
    <mergeCell ref="F41:F42"/>
    <mergeCell ref="G41:G42"/>
  </mergeCells>
  <conditionalFormatting sqref="F7">
    <cfRule type="cellIs" dxfId="4" priority="6" stopIfTrue="1" operator="lessThan">
      <formula>VisitsPerHour</formula>
    </cfRule>
  </conditionalFormatting>
  <conditionalFormatting sqref="F5">
    <cfRule type="cellIs" dxfId="3" priority="8" stopIfTrue="1" operator="greaterThan">
      <formula>$F$7</formula>
    </cfRule>
  </conditionalFormatting>
  <conditionalFormatting sqref="F9:F10 F5:F7">
    <cfRule type="containsBlanks" dxfId="2" priority="3" stopIfTrue="1">
      <formula>LEN(TRIM(F5))=0</formula>
    </cfRule>
  </conditionalFormatting>
  <conditionalFormatting sqref="F5:F7 F9:F10">
    <cfRule type="cellIs" dxfId="1" priority="2" stopIfTrue="1" operator="lessThan">
      <formula>0</formula>
    </cfRule>
  </conditionalFormatting>
  <conditionalFormatting sqref="F10">
    <cfRule type="cellIs" dxfId="0" priority="1" stopIfTrue="1" operator="notBetween">
      <formula>0</formula>
      <formula>1</formula>
    </cfRule>
  </conditionalFormatting>
  <dataValidations count="3">
    <dataValidation type="decimal" operator="greaterThanOrEqual" allowBlank="1" showInputMessage="1" showErrorMessage="1" errorTitle="Incorrect input" error="Pleasse, input number greater than 0" sqref="F9:F10">
      <formula1>0</formula1>
    </dataValidation>
    <dataValidation type="decimal" operator="greaterThan" allowBlank="1" showInputMessage="1" showErrorMessage="1" errorTitle="Incorrect value" error="Please, enter only decimal greater than 0" sqref="F5:F7">
      <formula1>0</formula1>
    </dataValidation>
    <dataValidation type="decimal" operator="greaterThanOrEqual" allowBlank="1" showInputMessage="1" showErrorMessage="1" errorTitle="Incorrect value" error="Please, enter only decimal greater than 2" sqref="F12:F13">
      <formula1>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6"/>
  <dimension ref="A1:E39"/>
  <sheetViews>
    <sheetView workbookViewId="0">
      <selection activeCell="B21" sqref="B21"/>
    </sheetView>
  </sheetViews>
  <sheetFormatPr defaultColWidth="17.109375" defaultRowHeight="12.75" customHeight="1" x14ac:dyDescent="0.25"/>
  <cols>
    <col min="1" max="1" width="34.6640625" customWidth="1"/>
  </cols>
  <sheetData>
    <row r="1" spans="1:3" ht="13.2" x14ac:dyDescent="0.25">
      <c r="A1" s="2" t="s">
        <v>25</v>
      </c>
    </row>
    <row r="2" spans="1:3" ht="13.2" x14ac:dyDescent="0.25">
      <c r="A2" t="s">
        <v>26</v>
      </c>
      <c r="B2">
        <v>3</v>
      </c>
    </row>
    <row r="4" spans="1:3" ht="13.2" x14ac:dyDescent="0.25">
      <c r="A4" s="2" t="s">
        <v>27</v>
      </c>
      <c r="B4" t="s">
        <v>28</v>
      </c>
      <c r="C4" t="s">
        <v>29</v>
      </c>
    </row>
    <row r="5" spans="1:3" ht="13.2" x14ac:dyDescent="0.25">
      <c r="A5" t="s">
        <v>30</v>
      </c>
      <c r="B5">
        <v>1024</v>
      </c>
      <c r="C5">
        <v>350</v>
      </c>
    </row>
    <row r="6" spans="1:3" ht="13.2" x14ac:dyDescent="0.25">
      <c r="A6" t="s">
        <v>31</v>
      </c>
      <c r="B6">
        <f>EventSizeCat0Compr0*1.9</f>
        <v>1945.6</v>
      </c>
      <c r="C6">
        <f>EventSizeCat1Compr0/2.9</f>
        <v>670.89655172413791</v>
      </c>
    </row>
    <row r="7" spans="1:3" ht="13.2" x14ac:dyDescent="0.25">
      <c r="A7" t="s">
        <v>32</v>
      </c>
      <c r="B7">
        <f>EventSizeCat0Compr0*2.346</f>
        <v>2402.3040000000001</v>
      </c>
      <c r="C7">
        <f>EventSizeCat2Compr0/3</f>
        <v>800.76800000000003</v>
      </c>
    </row>
    <row r="9" spans="1:3" ht="13.2" x14ac:dyDescent="0.25">
      <c r="A9" s="3" t="s">
        <v>48</v>
      </c>
      <c r="B9">
        <f>1024*1024*1024</f>
        <v>1073741824</v>
      </c>
    </row>
    <row r="10" spans="1:3" ht="13.2" x14ac:dyDescent="0.25">
      <c r="A10" s="3" t="s">
        <v>49</v>
      </c>
      <c r="B10">
        <f>365/12</f>
        <v>30.416666666666668</v>
      </c>
    </row>
    <row r="11" spans="1:3" ht="13.2" x14ac:dyDescent="0.25">
      <c r="A11" s="3" t="s">
        <v>50</v>
      </c>
      <c r="B11">
        <f>3600</f>
        <v>3600</v>
      </c>
    </row>
    <row r="13" spans="1:3" ht="13.2" x14ac:dyDescent="0.25">
      <c r="A13" s="2" t="s">
        <v>20</v>
      </c>
    </row>
    <row r="14" spans="1:3" ht="13.2" x14ac:dyDescent="0.25">
      <c r="A14" t="s">
        <v>10</v>
      </c>
      <c r="B14">
        <v>1</v>
      </c>
      <c r="C14" t="s">
        <v>33</v>
      </c>
    </row>
    <row r="15" spans="1:3" ht="26.4" x14ac:dyDescent="0.25">
      <c r="A15" t="s">
        <v>34</v>
      </c>
      <c r="B15">
        <v>2</v>
      </c>
      <c r="C15" t="s">
        <v>35</v>
      </c>
    </row>
    <row r="17" spans="1:5" ht="12.75" customHeight="1" x14ac:dyDescent="0.25">
      <c r="A17" s="25" t="s">
        <v>68</v>
      </c>
      <c r="C17">
        <v>50</v>
      </c>
    </row>
    <row r="19" spans="1:5" ht="13.2" x14ac:dyDescent="0.25">
      <c r="A19" s="2" t="s">
        <v>36</v>
      </c>
    </row>
    <row r="20" spans="1:5" ht="13.2" x14ac:dyDescent="0.25">
      <c r="A20" t="s">
        <v>37</v>
      </c>
      <c r="B20">
        <v>2</v>
      </c>
    </row>
    <row r="21" spans="1:5" ht="12.75" customHeight="1" x14ac:dyDescent="0.25">
      <c r="A21" s="6" t="s">
        <v>71</v>
      </c>
    </row>
    <row r="22" spans="1:5" ht="13.2" x14ac:dyDescent="0.25">
      <c r="A22" t="s">
        <v>66</v>
      </c>
      <c r="B22">
        <v>1420</v>
      </c>
    </row>
    <row r="23" spans="1:5" ht="12" customHeight="1" x14ac:dyDescent="0.25">
      <c r="A23" t="s">
        <v>67</v>
      </c>
      <c r="B23">
        <v>1950</v>
      </c>
      <c r="E23" t="s">
        <v>38</v>
      </c>
    </row>
    <row r="25" spans="1:5" ht="12.75" customHeight="1" x14ac:dyDescent="0.25">
      <c r="A25" s="24" t="s">
        <v>56</v>
      </c>
      <c r="B25" s="24"/>
      <c r="C25" s="24">
        <v>20000</v>
      </c>
    </row>
    <row r="26" spans="1:5" ht="13.2" x14ac:dyDescent="0.25">
      <c r="A26" s="1" t="s">
        <v>52</v>
      </c>
      <c r="B26" s="1"/>
      <c r="C26" s="1">
        <v>8</v>
      </c>
    </row>
    <row r="27" spans="1:5" ht="12.75" customHeight="1" x14ac:dyDescent="0.25">
      <c r="A27" s="25" t="s">
        <v>69</v>
      </c>
      <c r="C27">
        <v>20</v>
      </c>
    </row>
    <row r="29" spans="1:5" ht="12.75" customHeight="1" x14ac:dyDescent="0.25">
      <c r="A29" s="34" t="s">
        <v>94</v>
      </c>
      <c r="C29">
        <v>2</v>
      </c>
    </row>
    <row r="30" spans="1:5" ht="12.75" customHeight="1" x14ac:dyDescent="0.25">
      <c r="A30" s="34" t="s">
        <v>95</v>
      </c>
      <c r="C30">
        <v>3</v>
      </c>
    </row>
    <row r="31" spans="1:5" ht="12.75" customHeight="1" x14ac:dyDescent="0.25">
      <c r="A31" s="34" t="s">
        <v>96</v>
      </c>
      <c r="C31">
        <v>2</v>
      </c>
    </row>
    <row r="33" spans="1:3" ht="12.75" customHeight="1" x14ac:dyDescent="0.25">
      <c r="A33" t="s">
        <v>97</v>
      </c>
      <c r="C33">
        <v>350</v>
      </c>
    </row>
    <row r="34" spans="1:3" ht="12.75" customHeight="1" x14ac:dyDescent="0.25">
      <c r="A34" t="s">
        <v>98</v>
      </c>
      <c r="C34">
        <v>310</v>
      </c>
    </row>
    <row r="36" spans="1:3" ht="12.75" customHeight="1" x14ac:dyDescent="0.25">
      <c r="A36" s="33" t="s">
        <v>99</v>
      </c>
      <c r="C36" s="11">
        <f>ROUND(RequestsPerSecond*CassandraRF/IF(CassandraConnect=1,ShardPerformanceExt,ShardPerformanceInt),0)</f>
        <v>5</v>
      </c>
    </row>
    <row r="37" spans="1:3" ht="12.75" customHeight="1" x14ac:dyDescent="0.25">
      <c r="A37" t="s">
        <v>100</v>
      </c>
      <c r="C37">
        <f>MAX(ROUND(CalculateCountShards/ShardNormal,0),CassandraRF)</f>
        <v>3</v>
      </c>
    </row>
    <row r="38" spans="1:3" ht="12.75" customHeight="1" x14ac:dyDescent="0.25">
      <c r="A38" t="s">
        <v>101</v>
      </c>
      <c r="C38">
        <f>MAX(ROUND(CalculateCountShards/ShardHight,0),CassandraRF)</f>
        <v>3</v>
      </c>
    </row>
    <row r="39" spans="1:3" ht="12.75" customHeight="1" x14ac:dyDescent="0.25">
      <c r="A39" t="s">
        <v>102</v>
      </c>
      <c r="C39">
        <f>MAX(ROUND(CalculateCountShards/ShardInternal,0),CassandraRF)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orksheet____2"/>
  <dimension ref="A1:F28"/>
  <sheetViews>
    <sheetView showGridLines="0" workbookViewId="0">
      <selection activeCell="C26" sqref="C26"/>
    </sheetView>
  </sheetViews>
  <sheetFormatPr defaultColWidth="9.109375" defaultRowHeight="13.2" x14ac:dyDescent="0.25"/>
  <cols>
    <col min="1" max="1" width="27.109375" style="49" customWidth="1"/>
    <col min="2" max="2" width="15.88671875" style="49" customWidth="1"/>
    <col min="3" max="3" width="22.44140625" style="49" customWidth="1"/>
    <col min="4" max="4" width="24.6640625" style="49" customWidth="1"/>
    <col min="5" max="16384" width="9.109375" style="49"/>
  </cols>
  <sheetData>
    <row r="1" spans="1:6" ht="20.399999999999999" x14ac:dyDescent="0.35">
      <c r="A1" s="110" t="s">
        <v>65</v>
      </c>
      <c r="B1" s="110"/>
      <c r="C1" s="110"/>
      <c r="D1" s="110"/>
    </row>
    <row r="2" spans="1:6" ht="20.399999999999999" x14ac:dyDescent="0.35">
      <c r="A2" s="50"/>
      <c r="B2" s="50"/>
      <c r="C2" s="50"/>
      <c r="D2" s="50"/>
    </row>
    <row r="3" spans="1:6" x14ac:dyDescent="0.25">
      <c r="A3" s="51" t="s">
        <v>88</v>
      </c>
      <c r="B3" s="52"/>
      <c r="C3" s="53" t="s">
        <v>89</v>
      </c>
      <c r="D3" s="53" t="s">
        <v>90</v>
      </c>
      <c r="E3" s="54"/>
      <c r="F3" s="54"/>
    </row>
    <row r="4" spans="1:6" x14ac:dyDescent="0.25">
      <c r="A4" s="52"/>
      <c r="B4" s="52"/>
      <c r="C4" s="55"/>
      <c r="D4" s="56"/>
      <c r="E4" s="54"/>
      <c r="F4" s="54"/>
    </row>
    <row r="5" spans="1:6" x14ac:dyDescent="0.25">
      <c r="A5" s="52"/>
      <c r="B5" s="52"/>
      <c r="C5" s="57"/>
      <c r="D5" s="58"/>
      <c r="E5" s="54"/>
      <c r="F5" s="54"/>
    </row>
    <row r="6" spans="1:6" x14ac:dyDescent="0.25">
      <c r="A6" s="59"/>
      <c r="B6" s="59"/>
      <c r="C6" s="60" t="s">
        <v>64</v>
      </c>
      <c r="D6" s="60" t="s">
        <v>63</v>
      </c>
    </row>
    <row r="7" spans="1:6" x14ac:dyDescent="0.25">
      <c r="A7" s="111" t="s">
        <v>108</v>
      </c>
      <c r="B7" s="111"/>
      <c r="C7" s="112"/>
      <c r="D7" s="112"/>
      <c r="E7" s="54"/>
      <c r="F7" s="54"/>
    </row>
    <row r="8" spans="1:6" x14ac:dyDescent="0.25">
      <c r="A8" s="113" t="s">
        <v>61</v>
      </c>
      <c r="B8" s="113"/>
      <c r="C8" s="114" t="str">
        <f>IF(CassandraConnect=1,"multicore (8+) CPU"," multicore (8+) CPU   |      multicore (16+) CPU")</f>
        <v>multicore (8+) CPU</v>
      </c>
      <c r="D8" s="114"/>
      <c r="E8" s="54"/>
      <c r="F8" s="54"/>
    </row>
    <row r="9" spans="1:6" x14ac:dyDescent="0.25">
      <c r="A9" s="113" t="s">
        <v>60</v>
      </c>
      <c r="B9" s="113"/>
      <c r="C9" s="53" t="str">
        <f>IF(CassandraConnect=1,"8 GB","12 GB")</f>
        <v>8 GB</v>
      </c>
      <c r="D9" s="61" t="str">
        <f>IF(CassandraConnect=1,"8 GB","16 GB")</f>
        <v>8 GB</v>
      </c>
      <c r="E9" s="54"/>
      <c r="F9" s="54"/>
    </row>
    <row r="10" spans="1:6" x14ac:dyDescent="0.25">
      <c r="A10" s="113" t="s">
        <v>62</v>
      </c>
      <c r="B10" s="113"/>
      <c r="C10" s="115" t="str">
        <f>IF(CassandraConnect=1,"100 GB","(total database size \ count of nodes ) * 1.5")</f>
        <v>100 GB</v>
      </c>
      <c r="D10" s="115"/>
      <c r="E10" s="54"/>
      <c r="F10" s="54"/>
    </row>
    <row r="11" spans="1:6" x14ac:dyDescent="0.25">
      <c r="A11" s="52"/>
      <c r="B11" s="52"/>
      <c r="C11" s="57"/>
      <c r="D11" s="58"/>
      <c r="E11" s="54"/>
      <c r="F11" s="54"/>
    </row>
    <row r="12" spans="1:6" x14ac:dyDescent="0.25">
      <c r="A12" s="52"/>
      <c r="B12" s="52"/>
      <c r="C12" s="57"/>
      <c r="D12" s="58"/>
      <c r="E12" s="54"/>
      <c r="F12" s="54"/>
    </row>
    <row r="13" spans="1:6" x14ac:dyDescent="0.25">
      <c r="A13" s="51" t="s">
        <v>109</v>
      </c>
      <c r="B13" s="52"/>
      <c r="C13" s="57"/>
      <c r="D13" s="58"/>
      <c r="E13" s="54"/>
      <c r="F13" s="54"/>
    </row>
    <row r="14" spans="1:6" x14ac:dyDescent="0.25">
      <c r="A14" s="52" t="s">
        <v>61</v>
      </c>
      <c r="B14" s="52"/>
      <c r="C14" s="53" t="str">
        <f>IF(CassandraConnect=1,"multicore (8+) CPU","")</f>
        <v>multicore (8+) CPU</v>
      </c>
      <c r="D14" s="53" t="str">
        <f>IF(CassandraConnect=1,"multicore (16+) CPU","")</f>
        <v>multicore (16+) CPU</v>
      </c>
      <c r="E14" s="54"/>
      <c r="F14" s="54"/>
    </row>
    <row r="15" spans="1:6" x14ac:dyDescent="0.25">
      <c r="A15" s="52" t="s">
        <v>60</v>
      </c>
      <c r="B15" s="52"/>
      <c r="C15" s="53" t="str">
        <f>IF(CassandraConnect=1,"12 GB","")</f>
        <v>12 GB</v>
      </c>
      <c r="D15" s="61" t="str">
        <f>IF(CassandraConnect=1,"16 GB","")</f>
        <v>16 GB</v>
      </c>
      <c r="E15" s="54"/>
      <c r="F15" s="54"/>
    </row>
    <row r="16" spans="1:6" x14ac:dyDescent="0.25">
      <c r="A16" s="113" t="s">
        <v>62</v>
      </c>
      <c r="B16" s="113"/>
      <c r="C16" s="115" t="str">
        <f>IF(CassandraConnect=1,"(total database size \ count of nodes ) * 1.5","")</f>
        <v>(total database size \ count of nodes ) * 1.5</v>
      </c>
      <c r="D16" s="115"/>
      <c r="E16" s="54"/>
      <c r="F16" s="54"/>
    </row>
    <row r="17" spans="1:6" x14ac:dyDescent="0.25">
      <c r="B17" s="52"/>
      <c r="C17" s="62"/>
      <c r="D17" s="62"/>
      <c r="E17" s="54"/>
      <c r="F17" s="54"/>
    </row>
    <row r="18" spans="1:6" ht="15.75" customHeight="1" x14ac:dyDescent="0.35">
      <c r="A18" s="110" t="s">
        <v>59</v>
      </c>
      <c r="B18" s="110"/>
      <c r="C18" s="110"/>
      <c r="D18" s="110"/>
      <c r="E18" s="54"/>
      <c r="F18" s="54"/>
    </row>
    <row r="19" spans="1:6" x14ac:dyDescent="0.25">
      <c r="A19" s="63" t="s">
        <v>113</v>
      </c>
      <c r="B19" s="15"/>
      <c r="C19" s="63" t="s">
        <v>121</v>
      </c>
      <c r="D19" s="15"/>
      <c r="E19" s="54"/>
      <c r="F19" s="54"/>
    </row>
    <row r="20" spans="1:6" x14ac:dyDescent="0.25">
      <c r="A20" s="63" t="s">
        <v>114</v>
      </c>
      <c r="B20" s="15"/>
      <c r="C20" s="63" t="s">
        <v>120</v>
      </c>
      <c r="D20" s="15"/>
      <c r="E20" s="54"/>
      <c r="F20" s="54"/>
    </row>
    <row r="21" spans="1:6" x14ac:dyDescent="0.25">
      <c r="A21" s="118" t="s">
        <v>58</v>
      </c>
      <c r="B21" s="118"/>
      <c r="C21" s="54" t="s">
        <v>92</v>
      </c>
      <c r="D21" s="54"/>
      <c r="E21" s="54"/>
      <c r="F21" s="54"/>
    </row>
    <row r="22" spans="1:6" ht="5.25" customHeight="1" x14ac:dyDescent="0.25">
      <c r="A22" s="54"/>
      <c r="B22" s="54"/>
      <c r="C22" s="54"/>
      <c r="D22" s="54"/>
      <c r="E22" s="54"/>
      <c r="F22" s="54"/>
    </row>
    <row r="23" spans="1:6" x14ac:dyDescent="0.25">
      <c r="A23" s="49" t="s">
        <v>57</v>
      </c>
      <c r="B23" s="54"/>
      <c r="C23" s="64" t="s">
        <v>110</v>
      </c>
      <c r="D23" s="64"/>
      <c r="E23" s="54"/>
      <c r="F23" s="54"/>
    </row>
    <row r="24" spans="1:6" ht="14.25" customHeight="1" x14ac:dyDescent="0.25">
      <c r="A24" s="116" t="s">
        <v>111</v>
      </c>
      <c r="B24" s="116"/>
      <c r="C24" s="117" t="str">
        <f>IF(CassandraConnect = 1,"½ of available RAM, no more than 8 Gb","")</f>
        <v>½ of available RAM, no more than 8 Gb</v>
      </c>
      <c r="D24" s="117"/>
    </row>
    <row r="25" spans="1:6" ht="15.75" customHeight="1" x14ac:dyDescent="0.25">
      <c r="A25" s="65" t="s">
        <v>112</v>
      </c>
      <c r="C25" s="108" t="str">
        <f>IF(CassandraConnect = 1,"4 GB             |              6 GB","8 GB              |                12 GB")</f>
        <v>4 GB             |              6 GB</v>
      </c>
      <c r="D25" s="109"/>
    </row>
    <row r="26" spans="1:6" ht="7.5" customHeight="1" x14ac:dyDescent="0.25">
      <c r="A26" s="65"/>
    </row>
    <row r="27" spans="1:6" ht="26.25" customHeight="1" x14ac:dyDescent="0.25">
      <c r="A27" s="66" t="s">
        <v>141</v>
      </c>
      <c r="C27" s="106" t="s">
        <v>140</v>
      </c>
      <c r="D27" s="107"/>
    </row>
    <row r="28" spans="1:6" x14ac:dyDescent="0.25">
      <c r="A28" s="80" t="str">
        <f>IF(CassandraConnect=1,"Sizing for more powerful hardware configuration may vary, please contact us through support or your account manager based on the planned hardware configuration","")</f>
        <v>Sizing for more powerful hardware configuration may vary, please contact us through support or your account manager based on the planned hardware configuration</v>
      </c>
      <c r="C28" s="78"/>
    </row>
  </sheetData>
  <sheetProtection password="C5A5" sheet="1" objects="1" scenarios="1" selectLockedCells="1"/>
  <mergeCells count="16">
    <mergeCell ref="C27:D27"/>
    <mergeCell ref="C25:D25"/>
    <mergeCell ref="A1:D1"/>
    <mergeCell ref="A7:B7"/>
    <mergeCell ref="C7:D7"/>
    <mergeCell ref="A8:B8"/>
    <mergeCell ref="C8:D8"/>
    <mergeCell ref="A9:B9"/>
    <mergeCell ref="A10:B10"/>
    <mergeCell ref="C10:D10"/>
    <mergeCell ref="A24:B24"/>
    <mergeCell ref="C24:D24"/>
    <mergeCell ref="A18:D18"/>
    <mergeCell ref="A21:B21"/>
    <mergeCell ref="A16:B16"/>
    <mergeCell ref="C16:D1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</xdr:col>
                    <xdr:colOff>563880</xdr:colOff>
                    <xdr:row>2</xdr:row>
                    <xdr:rowOff>114300</xdr:rowOff>
                  </from>
                  <to>
                    <xdr:col>4</xdr:col>
                    <xdr:colOff>68580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2</xdr:col>
                    <xdr:colOff>510540</xdr:colOff>
                    <xdr:row>2</xdr:row>
                    <xdr:rowOff>114300</xdr:rowOff>
                  </from>
                  <to>
                    <xdr:col>3</xdr:col>
                    <xdr:colOff>137160</xdr:colOff>
                    <xdr:row>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C15" sqref="C15"/>
    </sheetView>
  </sheetViews>
  <sheetFormatPr defaultRowHeight="13.2" x14ac:dyDescent="0.25"/>
  <cols>
    <col min="1" max="1" width="46.6640625" customWidth="1"/>
    <col min="2" max="2" width="17.44140625" customWidth="1"/>
    <col min="3" max="3" width="15.5546875" customWidth="1"/>
    <col min="4" max="6" width="12.6640625" customWidth="1"/>
    <col min="7" max="7" width="9.109375" hidden="1" customWidth="1"/>
  </cols>
  <sheetData>
    <row r="1" spans="1:15" ht="13.2" customHeight="1" x14ac:dyDescent="0.35">
      <c r="A1" s="122" t="s">
        <v>115</v>
      </c>
      <c r="B1" s="122"/>
      <c r="C1" s="122"/>
      <c r="D1" s="88"/>
      <c r="E1" s="88"/>
      <c r="F1" s="88"/>
      <c r="G1" s="88"/>
    </row>
    <row r="2" spans="1:15" ht="13.2" customHeight="1" x14ac:dyDescent="0.35">
      <c r="A2" s="122"/>
      <c r="B2" s="122"/>
      <c r="C2" s="122"/>
      <c r="D2" s="88"/>
      <c r="E2" s="88"/>
      <c r="F2" s="88"/>
      <c r="G2" s="88"/>
    </row>
    <row r="3" spans="1:15" ht="13.8" customHeight="1" thickBot="1" x14ac:dyDescent="0.3">
      <c r="A3" s="123"/>
      <c r="B3" s="123"/>
      <c r="C3" s="123"/>
    </row>
    <row r="4" spans="1:15" x14ac:dyDescent="0.25">
      <c r="A4" s="7"/>
      <c r="B4" s="7"/>
      <c r="C4" s="7"/>
    </row>
    <row r="5" spans="1:15" x14ac:dyDescent="0.25">
      <c r="A5" s="121" t="s">
        <v>149</v>
      </c>
      <c r="B5" s="119" t="s">
        <v>154</v>
      </c>
      <c r="C5" s="119" t="s">
        <v>155</v>
      </c>
      <c r="D5" s="7"/>
    </row>
    <row r="6" spans="1:15" ht="29.4" customHeight="1" x14ac:dyDescent="0.25">
      <c r="A6" s="120"/>
      <c r="B6" s="120"/>
      <c r="C6" s="120"/>
      <c r="D6" s="7"/>
    </row>
    <row r="7" spans="1:15" x14ac:dyDescent="0.25">
      <c r="A7" s="87" t="s">
        <v>150</v>
      </c>
      <c r="B7" s="89">
        <f>IntraRegionPort9081</f>
        <v>17.65500061225891</v>
      </c>
      <c r="C7" s="89"/>
      <c r="D7" s="7"/>
    </row>
    <row r="8" spans="1:15" x14ac:dyDescent="0.25">
      <c r="A8" s="90" t="s">
        <v>151</v>
      </c>
      <c r="B8" s="91">
        <f>IntraRegionPort9042</f>
        <v>6.0990006122589113</v>
      </c>
      <c r="C8" s="91"/>
      <c r="D8" s="7"/>
      <c r="E8" s="7"/>
      <c r="F8" s="7"/>
      <c r="G8" s="7"/>
    </row>
    <row r="9" spans="1:15" x14ac:dyDescent="0.25">
      <c r="A9" s="90" t="s">
        <v>152</v>
      </c>
      <c r="B9" s="91">
        <f>IntraRegionPort7000</f>
        <v>34.667999999999999</v>
      </c>
      <c r="C9" s="91">
        <f>InterRegionPort7000</f>
        <v>11.555999999999997</v>
      </c>
      <c r="D9" s="7"/>
      <c r="E9" s="7"/>
      <c r="F9" s="7"/>
      <c r="G9" s="7"/>
      <c r="O9" s="7"/>
    </row>
    <row r="10" spans="1:15" x14ac:dyDescent="0.25">
      <c r="A10" s="92" t="s">
        <v>153</v>
      </c>
      <c r="B10" s="91">
        <f>IntraRegionPort9300</f>
        <v>57.779999999999994</v>
      </c>
      <c r="C10" s="91"/>
      <c r="D10" s="7"/>
      <c r="E10" s="7"/>
      <c r="F10" s="7"/>
      <c r="G10" s="7"/>
      <c r="O10" s="7"/>
    </row>
    <row r="11" spans="1:15" x14ac:dyDescent="0.25">
      <c r="A11" s="7"/>
      <c r="B11" s="7"/>
      <c r="C11" s="7"/>
      <c r="D11" s="7"/>
      <c r="E11" s="7"/>
      <c r="F11" s="7"/>
      <c r="G11" s="7"/>
      <c r="O11" s="7"/>
    </row>
    <row r="12" spans="1:15" x14ac:dyDescent="0.25">
      <c r="A12" s="7"/>
      <c r="B12" s="7"/>
      <c r="C12" s="7"/>
      <c r="D12" s="7"/>
      <c r="E12" s="7"/>
      <c r="F12" s="7"/>
      <c r="G12" s="7"/>
      <c r="O12" s="7"/>
    </row>
    <row r="13" spans="1:15" x14ac:dyDescent="0.25">
      <c r="A13" s="7"/>
      <c r="B13" s="7"/>
      <c r="C13" s="7"/>
      <c r="D13" s="7"/>
      <c r="E13" s="7"/>
      <c r="F13" s="7"/>
      <c r="G13" s="7"/>
      <c r="O13" s="7"/>
    </row>
    <row r="14" spans="1:15" x14ac:dyDescent="0.25">
      <c r="A14" s="7"/>
      <c r="B14" s="7"/>
      <c r="C14" s="7"/>
      <c r="D14" s="7"/>
      <c r="E14" s="7"/>
      <c r="F14" s="7"/>
      <c r="G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O15" s="7"/>
    </row>
    <row r="16" spans="1:15" x14ac:dyDescent="0.25">
      <c r="A16" s="7"/>
      <c r="B16" s="7"/>
      <c r="C16" s="7"/>
      <c r="D16" s="7"/>
      <c r="E16" s="7"/>
      <c r="F16" s="7"/>
      <c r="G16" s="7"/>
      <c r="O16" s="7"/>
    </row>
    <row r="17" spans="1:15" x14ac:dyDescent="0.25">
      <c r="A17" s="7"/>
      <c r="B17" s="7"/>
      <c r="C17" s="7"/>
      <c r="D17" s="7"/>
      <c r="E17" s="7"/>
      <c r="F17" s="7"/>
      <c r="G17" s="7"/>
      <c r="O17" s="7"/>
    </row>
    <row r="18" spans="1:15" x14ac:dyDescent="0.25">
      <c r="A18" s="7"/>
      <c r="B18" s="7"/>
      <c r="C18" s="7"/>
      <c r="D18" s="7"/>
      <c r="E18" s="7"/>
      <c r="F18" s="7"/>
      <c r="G18" s="7"/>
      <c r="O18" s="7"/>
    </row>
    <row r="19" spans="1:15" x14ac:dyDescent="0.25">
      <c r="A19" s="7"/>
      <c r="B19" s="7"/>
      <c r="C19" s="7"/>
      <c r="D19" s="7"/>
      <c r="E19" s="7"/>
      <c r="F19" s="7"/>
      <c r="G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</row>
    <row r="21" spans="1:15" x14ac:dyDescent="0.25">
      <c r="A21" s="7"/>
      <c r="B21" s="7"/>
      <c r="C21" s="7"/>
      <c r="D21" s="7"/>
      <c r="E21" s="7"/>
      <c r="F21" s="7"/>
      <c r="G21" s="7"/>
    </row>
    <row r="22" spans="1:15" x14ac:dyDescent="0.25">
      <c r="A22" s="7"/>
      <c r="B22" s="7"/>
      <c r="C22" s="7"/>
      <c r="D22" s="7"/>
      <c r="E22" s="7"/>
      <c r="F22" s="7"/>
      <c r="G22" s="7"/>
    </row>
    <row r="23" spans="1:15" x14ac:dyDescent="0.25">
      <c r="A23" s="7"/>
      <c r="B23" s="7"/>
      <c r="C23" s="7"/>
      <c r="D23" s="7"/>
      <c r="E23" s="7"/>
      <c r="F23" s="7"/>
      <c r="G23" s="7"/>
    </row>
    <row r="24" spans="1:15" x14ac:dyDescent="0.25">
      <c r="A24" s="7"/>
      <c r="B24" s="7"/>
    </row>
    <row r="25" spans="1:15" x14ac:dyDescent="0.25">
      <c r="A25" s="7"/>
      <c r="B25" s="7"/>
    </row>
  </sheetData>
  <sheetProtection sheet="1" objects="1" scenarios="1" selectLockedCells="1"/>
  <mergeCells count="4">
    <mergeCell ref="B5:B6"/>
    <mergeCell ref="C5:C6"/>
    <mergeCell ref="A5:A6"/>
    <mergeCell ref="A1:C3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5" sqref="C15"/>
    </sheetView>
  </sheetViews>
  <sheetFormatPr defaultRowHeight="13.2" x14ac:dyDescent="0.25"/>
  <cols>
    <col min="2" max="2" width="15.109375" customWidth="1"/>
    <col min="3" max="3" width="16.21875" customWidth="1"/>
  </cols>
  <sheetData>
    <row r="1" spans="1:3" x14ac:dyDescent="0.25">
      <c r="A1" t="s">
        <v>142</v>
      </c>
      <c r="B1" s="85" t="s">
        <v>144</v>
      </c>
      <c r="C1" s="85" t="s">
        <v>145</v>
      </c>
    </row>
    <row r="2" spans="1:3" x14ac:dyDescent="0.25">
      <c r="A2">
        <v>9081</v>
      </c>
      <c r="B2" s="86">
        <v>961.19470000000001</v>
      </c>
      <c r="C2" s="86">
        <v>0</v>
      </c>
    </row>
    <row r="3" spans="1:3" x14ac:dyDescent="0.25">
      <c r="A3">
        <v>7000</v>
      </c>
      <c r="B3" s="86">
        <f>629.1456</f>
        <v>629.14559999999994</v>
      </c>
      <c r="C3" s="86">
        <v>209.71520000000001</v>
      </c>
    </row>
    <row r="4" spans="1:3" x14ac:dyDescent="0.25">
      <c r="A4">
        <v>9042</v>
      </c>
      <c r="B4" s="86">
        <v>332.04910000000001</v>
      </c>
      <c r="C4" s="86"/>
    </row>
    <row r="5" spans="1:3" x14ac:dyDescent="0.25">
      <c r="A5">
        <v>9300</v>
      </c>
      <c r="B5" s="86">
        <f>1048.576</f>
        <v>1048.576</v>
      </c>
      <c r="C5" s="86"/>
    </row>
    <row r="6" spans="1:3" x14ac:dyDescent="0.25">
      <c r="A6" s="32" t="s">
        <v>146</v>
      </c>
    </row>
    <row r="7" spans="1:3" x14ac:dyDescent="0.25">
      <c r="A7" s="32" t="s">
        <v>147</v>
      </c>
      <c r="B7" s="85"/>
    </row>
    <row r="8" spans="1:3" x14ac:dyDescent="0.25">
      <c r="A8">
        <v>9081</v>
      </c>
      <c r="B8" s="86">
        <v>961.19470000000001</v>
      </c>
      <c r="C8" s="86">
        <v>0</v>
      </c>
    </row>
    <row r="9" spans="1:3" x14ac:dyDescent="0.25">
      <c r="A9">
        <v>7000</v>
      </c>
      <c r="B9" s="86">
        <f>629.1456*NumberOfCassandraNodes</f>
        <v>1887.4367999999999</v>
      </c>
      <c r="C9" s="86">
        <f>B9/3</f>
        <v>629.14559999999994</v>
      </c>
    </row>
    <row r="10" spans="1:3" x14ac:dyDescent="0.25">
      <c r="A10">
        <v>9042</v>
      </c>
      <c r="B10" s="86">
        <v>332.04910000000001</v>
      </c>
      <c r="C10" s="86"/>
    </row>
    <row r="11" spans="1:3" x14ac:dyDescent="0.25">
      <c r="A11">
        <v>9300</v>
      </c>
      <c r="B11" s="86">
        <f>1048.576*NumberOfCassandraNodes</f>
        <v>3145.7280000000001</v>
      </c>
      <c r="C11" s="86"/>
    </row>
    <row r="13" spans="1:3" x14ac:dyDescent="0.25">
      <c r="A13" s="32" t="s">
        <v>148</v>
      </c>
    </row>
    <row r="14" spans="1:3" x14ac:dyDescent="0.25">
      <c r="A14">
        <v>9081</v>
      </c>
      <c r="B14" s="18">
        <f>AvgEventsPerSecond/1000*Port9081*3600*24/1024/1024</f>
        <v>17.65500061225891</v>
      </c>
      <c r="C14" s="18"/>
    </row>
    <row r="15" spans="1:3" x14ac:dyDescent="0.25">
      <c r="A15">
        <v>7000</v>
      </c>
      <c r="B15" s="18">
        <f>AvgEventsPerSecond/1000*Port7000*3600*24/1024/1024</f>
        <v>34.667999999999999</v>
      </c>
      <c r="C15" s="18">
        <f>AvgEventsPerSecond/1000*Port7000otherRegion*3600*24/1024/1024</f>
        <v>11.555999999999997</v>
      </c>
    </row>
    <row r="16" spans="1:3" x14ac:dyDescent="0.25">
      <c r="A16">
        <v>9042</v>
      </c>
      <c r="B16" s="18">
        <f>AvgEventsPerSecond/1000*Port9042*3600*24/1024/1024</f>
        <v>6.0990006122589113</v>
      </c>
      <c r="C16" s="18"/>
    </row>
    <row r="17" spans="1:3" x14ac:dyDescent="0.25">
      <c r="A17">
        <v>9300</v>
      </c>
      <c r="B17" s="18">
        <f>AvgEventsPerSecond/1000*Port9300*3600*24/1024/1024</f>
        <v>57.779999999999994</v>
      </c>
      <c r="C17" s="1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F6" sqref="F6"/>
    </sheetView>
  </sheetViews>
  <sheetFormatPr defaultRowHeight="13.2" x14ac:dyDescent="0.25"/>
  <cols>
    <col min="1" max="1" width="7" customWidth="1"/>
    <col min="2" max="2" width="10.44140625" customWidth="1"/>
    <col min="3" max="3" width="11.33203125" customWidth="1"/>
    <col min="4" max="4" width="12" customWidth="1"/>
    <col min="5" max="5" width="11.6640625" customWidth="1"/>
    <col min="6" max="6" width="14.109375" customWidth="1"/>
    <col min="7" max="7" width="16.5546875" customWidth="1"/>
  </cols>
  <sheetData>
    <row r="1" spans="1:7" x14ac:dyDescent="0.25">
      <c r="A1" s="124" t="s">
        <v>122</v>
      </c>
      <c r="B1" s="124"/>
      <c r="C1" s="124"/>
      <c r="D1" s="124"/>
      <c r="E1" s="124"/>
      <c r="F1" s="124"/>
      <c r="G1" s="124"/>
    </row>
    <row r="2" spans="1:7" x14ac:dyDescent="0.25">
      <c r="A2" s="124"/>
      <c r="B2" s="124"/>
      <c r="C2" s="124"/>
      <c r="D2" s="124"/>
      <c r="E2" s="124"/>
      <c r="F2" s="124"/>
      <c r="G2" s="124"/>
    </row>
    <row r="3" spans="1:7" x14ac:dyDescent="0.25">
      <c r="A3" s="125"/>
      <c r="B3" s="125"/>
      <c r="C3" s="125"/>
      <c r="D3" s="125"/>
      <c r="E3" s="125"/>
      <c r="F3" s="125"/>
      <c r="G3" s="125"/>
    </row>
    <row r="5" spans="1:7" x14ac:dyDescent="0.25">
      <c r="A5" s="71" t="s">
        <v>123</v>
      </c>
      <c r="B5" s="71"/>
      <c r="C5" s="72"/>
    </row>
    <row r="6" spans="1:7" x14ac:dyDescent="0.25">
      <c r="A6" s="7"/>
      <c r="B6" s="6" t="s">
        <v>158</v>
      </c>
      <c r="F6" s="74">
        <v>1</v>
      </c>
    </row>
    <row r="7" spans="1:7" ht="0.6" customHeight="1" x14ac:dyDescent="0.25">
      <c r="A7" s="7"/>
      <c r="B7" s="70" t="s">
        <v>124</v>
      </c>
      <c r="F7" s="128" t="s">
        <v>128</v>
      </c>
    </row>
    <row r="8" spans="1:7" x14ac:dyDescent="0.25">
      <c r="B8" s="6" t="s">
        <v>137</v>
      </c>
      <c r="F8" s="46">
        <v>30</v>
      </c>
    </row>
    <row r="10" spans="1:7" ht="17.399999999999999" x14ac:dyDescent="0.3">
      <c r="A10" s="126" t="s">
        <v>130</v>
      </c>
      <c r="B10" s="126"/>
      <c r="C10" s="126"/>
      <c r="D10" s="126"/>
      <c r="E10" s="126"/>
      <c r="F10" s="126"/>
      <c r="G10" s="126"/>
    </row>
    <row r="12" spans="1:7" x14ac:dyDescent="0.25">
      <c r="A12" s="6" t="s">
        <v>157</v>
      </c>
      <c r="F12">
        <f>GarpCountNodes</f>
        <v>2</v>
      </c>
    </row>
    <row r="13" spans="1:7" x14ac:dyDescent="0.25">
      <c r="A13" s="6"/>
      <c r="F13" s="75"/>
    </row>
  </sheetData>
  <sheetProtection sheet="1" objects="1" scenarios="1" selectLockedCells="1"/>
  <mergeCells count="2">
    <mergeCell ref="A1:G3"/>
    <mergeCell ref="A10:G10"/>
  </mergeCells>
  <dataValidations count="1">
    <dataValidation type="list" allowBlank="1" showInputMessage="1" showErrorMessage="1" sqref="F7">
      <formula1>TimeUnit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D12" sqref="D12"/>
    </sheetView>
  </sheetViews>
  <sheetFormatPr defaultRowHeight="13.2" x14ac:dyDescent="0.25"/>
  <cols>
    <col min="2" max="2" width="11.5546875" bestFit="1" customWidth="1"/>
    <col min="4" max="4" width="11.5546875" bestFit="1" customWidth="1"/>
  </cols>
  <sheetData>
    <row r="1" spans="1:8" x14ac:dyDescent="0.25">
      <c r="A1" s="70" t="s">
        <v>125</v>
      </c>
      <c r="B1">
        <f>1/3600</f>
        <v>2.7777777777777778E-4</v>
      </c>
    </row>
    <row r="2" spans="1:8" x14ac:dyDescent="0.25">
      <c r="A2" s="70" t="s">
        <v>126</v>
      </c>
      <c r="B2">
        <f>1/60</f>
        <v>1.6666666666666666E-2</v>
      </c>
    </row>
    <row r="3" spans="1:8" x14ac:dyDescent="0.25">
      <c r="A3" s="70" t="s">
        <v>127</v>
      </c>
      <c r="B3">
        <f>1</f>
        <v>1</v>
      </c>
    </row>
    <row r="4" spans="1:8" x14ac:dyDescent="0.25">
      <c r="A4" s="70" t="s">
        <v>128</v>
      </c>
      <c r="B4">
        <v>24</v>
      </c>
    </row>
    <row r="5" spans="1:8" x14ac:dyDescent="0.25">
      <c r="A5" s="70" t="s">
        <v>129</v>
      </c>
      <c r="B5">
        <v>30</v>
      </c>
    </row>
    <row r="8" spans="1:8" x14ac:dyDescent="0.25">
      <c r="A8" s="7" t="s">
        <v>156</v>
      </c>
      <c r="D8">
        <v>2</v>
      </c>
    </row>
    <row r="9" spans="1:8" x14ac:dyDescent="0.25">
      <c r="A9" s="6" t="s">
        <v>131</v>
      </c>
      <c r="D9" s="75">
        <f>EventsPerHour*EntityTTL*(VLOOKUP(EntityTimeUnit,TimeUnits!A1:B5,2,FALSE))</f>
        <v>19260000</v>
      </c>
      <c r="F9">
        <f>EventsPerHour</f>
        <v>802500</v>
      </c>
      <c r="G9">
        <f>VLOOKUP(EntityTimeUnit,TimeUnits!A1:B5,2,FALSE)</f>
        <v>24</v>
      </c>
      <c r="H9">
        <f>EntityTTL</f>
        <v>1</v>
      </c>
    </row>
    <row r="10" spans="1:8" x14ac:dyDescent="0.25">
      <c r="A10" s="6" t="s">
        <v>132</v>
      </c>
      <c r="D10">
        <f>ROUND(EventsStored/(GradCountRowInPartion*GradParallelPartions),0)*GradTimeForPartion*GradNumberFullScan+ROUND(EventsStored/1000000,0)*SparkCacheReadDuration</f>
        <v>728</v>
      </c>
    </row>
    <row r="11" spans="1:8" x14ac:dyDescent="0.25">
      <c r="D11">
        <f>MAX(ROUNDDOWN(GarpCycleJobTask/(GarpFreqJob*60),0)+1,MinNodesGDPS)</f>
        <v>2</v>
      </c>
    </row>
    <row r="13" spans="1:8" x14ac:dyDescent="0.25">
      <c r="A13" s="7" t="s">
        <v>133</v>
      </c>
      <c r="C13">
        <v>4</v>
      </c>
    </row>
    <row r="14" spans="1:8" x14ac:dyDescent="0.25">
      <c r="A14" s="6" t="s">
        <v>134</v>
      </c>
      <c r="C14" s="73">
        <v>77275</v>
      </c>
    </row>
    <row r="15" spans="1:8" x14ac:dyDescent="0.25">
      <c r="A15" s="6" t="s">
        <v>135</v>
      </c>
      <c r="C15">
        <v>2</v>
      </c>
    </row>
    <row r="16" spans="1:8" x14ac:dyDescent="0.25">
      <c r="A16" s="6" t="s">
        <v>136</v>
      </c>
      <c r="C16">
        <v>1</v>
      </c>
    </row>
    <row r="17" spans="1:4" x14ac:dyDescent="0.25">
      <c r="A17" s="6" t="s">
        <v>138</v>
      </c>
      <c r="C17">
        <v>12</v>
      </c>
      <c r="D17" t="s">
        <v>125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3"/>
  <dimension ref="A2:G21"/>
  <sheetViews>
    <sheetView workbookViewId="0">
      <selection activeCell="C2" sqref="C2"/>
    </sheetView>
  </sheetViews>
  <sheetFormatPr defaultColWidth="17.109375" defaultRowHeight="12.75" customHeight="1" x14ac:dyDescent="0.25"/>
  <cols>
    <col min="1" max="1" width="20.88671875" customWidth="1"/>
  </cols>
  <sheetData>
    <row r="2" spans="1:7" ht="12.75" customHeight="1" x14ac:dyDescent="0.25">
      <c r="A2" t="s">
        <v>9</v>
      </c>
      <c r="C2">
        <f>EventsPerPageDef+CustomEventsPerPage</f>
        <v>3</v>
      </c>
    </row>
    <row r="3" spans="1:7" ht="12.75" customHeight="1" x14ac:dyDescent="0.25">
      <c r="A3" s="127" t="s">
        <v>10</v>
      </c>
      <c r="B3" s="127"/>
      <c r="C3">
        <f>EventsPerVisitDef+CustomEventsPerVisit</f>
        <v>1.05</v>
      </c>
    </row>
    <row r="4" spans="1:7" ht="12.75" customHeight="1" x14ac:dyDescent="0.25">
      <c r="A4" t="s">
        <v>55</v>
      </c>
      <c r="C4">
        <f>VisitsPerHour*AvgPagesPerVisit</f>
        <v>250000</v>
      </c>
    </row>
    <row r="5" spans="1:7" ht="12.75" customHeight="1" x14ac:dyDescent="0.25">
      <c r="A5" t="s">
        <v>11</v>
      </c>
      <c r="C5">
        <f>VisitsPerHour*EventsPerVisit +PagesPerHour*EventsPerPage</f>
        <v>802500</v>
      </c>
    </row>
    <row r="7" spans="1:7" ht="12.75" customHeight="1" x14ac:dyDescent="0.25">
      <c r="C7" t="s">
        <v>12</v>
      </c>
      <c r="D7" t="s">
        <v>13</v>
      </c>
    </row>
    <row r="8" spans="1:7" ht="12.75" customHeight="1" x14ac:dyDescent="0.25">
      <c r="A8" s="3" t="s">
        <v>45</v>
      </c>
      <c r="C8">
        <f>EventSizeCat0Compr0*CassandraRF+C9</f>
        <v>4472</v>
      </c>
      <c r="D8">
        <f>EventSizeCat0Compr1*CassandraRF+C9</f>
        <v>2450</v>
      </c>
      <c r="E8" s="34" t="s">
        <v>104</v>
      </c>
      <c r="F8" s="17" t="e">
        <f>((EventSizeCat0Compr0*Category0PagesPart) +( EventSizeCat1Compr0*Category1PagesPart)) +( EventSizeCat2Compr0*Category2PagesPart)</f>
        <v>#REF!</v>
      </c>
      <c r="G8" s="17" t="e">
        <f>((EventSizeCat0Compr1*Category0PagesPart) +( EventSizeCat1Compr1*Category1PagesPart)) +( EventSizeCat2Compr1*Category2PagesPart)</f>
        <v>#REF!</v>
      </c>
    </row>
    <row r="9" spans="1:7" ht="12.75" customHeight="1" x14ac:dyDescent="0.25">
      <c r="A9" s="34" t="s">
        <v>105</v>
      </c>
      <c r="C9">
        <v>1400</v>
      </c>
    </row>
    <row r="10" spans="1:7" ht="12.75" customHeight="1" x14ac:dyDescent="0.25">
      <c r="A10" s="4" t="s">
        <v>46</v>
      </c>
      <c r="E10">
        <f>EventSizeCat0Compr0*CassandraRF+C9</f>
        <v>4472</v>
      </c>
    </row>
    <row r="11" spans="1:7" ht="12.75" customHeight="1" x14ac:dyDescent="0.25">
      <c r="A11" s="4" t="s">
        <v>50</v>
      </c>
      <c r="B11">
        <f>3600</f>
        <v>3600</v>
      </c>
    </row>
    <row r="12" spans="1:7" ht="12.75" customHeight="1" x14ac:dyDescent="0.25">
      <c r="A12" s="7" t="s">
        <v>14</v>
      </c>
      <c r="C12" s="17">
        <f>(AvgEventSizeNew*EventsPerHour)/((1024*1024)*1024)</f>
        <v>3.342311829328537</v>
      </c>
      <c r="F12">
        <f>CassandraRF</f>
        <v>3</v>
      </c>
      <c r="G12">
        <f>EventSizeCat0Compr1+EventSizeCat0Compr1*CassandraRF/IF(TargetCassandraNormal&lt;MinimalBENodes,MinimalBENodes,TargetCassandraNormal)</f>
        <v>700</v>
      </c>
    </row>
    <row r="13" spans="1:7" ht="12.75" customHeight="1" x14ac:dyDescent="0.25">
      <c r="A13" t="s">
        <v>15</v>
      </c>
      <c r="C13" s="17">
        <f>C12*24</f>
        <v>80.215483903884888</v>
      </c>
      <c r="F13">
        <f>IF(TargetCassandraNormal&lt;MinimalBENodes,MinimalBENodes,TargetCassandraNormal)</f>
        <v>3</v>
      </c>
    </row>
    <row r="14" spans="1:7" ht="12.75" customHeight="1" x14ac:dyDescent="0.25">
      <c r="A14" t="s">
        <v>16</v>
      </c>
      <c r="C14" s="17">
        <f>C13*7</f>
        <v>561.50838732719421</v>
      </c>
    </row>
    <row r="15" spans="1:7" ht="12.75" customHeight="1" x14ac:dyDescent="0.25">
      <c r="A15" s="3" t="s">
        <v>47</v>
      </c>
      <c r="C15" s="17">
        <f>C13*365/12</f>
        <v>2439.887635409832</v>
      </c>
    </row>
    <row r="18" spans="2:5" ht="12.75" customHeight="1" x14ac:dyDescent="0.25">
      <c r="B18" s="6" t="s">
        <v>117</v>
      </c>
      <c r="D18" s="7" t="s">
        <v>116</v>
      </c>
    </row>
    <row r="21" spans="2:5" ht="12.75" customHeight="1" x14ac:dyDescent="0.25">
      <c r="B21" t="s">
        <v>118</v>
      </c>
      <c r="C21">
        <f>EventsPerHour</f>
        <v>802500</v>
      </c>
      <c r="D21" s="69" t="s">
        <v>119</v>
      </c>
      <c r="E21">
        <f>C21/3600</f>
        <v>222.91666666666666</v>
      </c>
    </row>
  </sheetData>
  <mergeCells count="1">
    <mergeCell ref="A3:B3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4"/>
  <dimension ref="A1:N25"/>
  <sheetViews>
    <sheetView workbookViewId="0">
      <selection activeCell="E8" sqref="E8"/>
    </sheetView>
  </sheetViews>
  <sheetFormatPr defaultRowHeight="13.2" x14ac:dyDescent="0.25"/>
  <cols>
    <col min="1" max="1" width="16.88671875" customWidth="1"/>
    <col min="5" max="5" width="11.5546875" bestFit="1" customWidth="1"/>
    <col min="9" max="9" width="12.109375" bestFit="1" customWidth="1"/>
  </cols>
  <sheetData>
    <row r="1" spans="1:14" x14ac:dyDescent="0.25">
      <c r="A1" s="5" t="s">
        <v>42</v>
      </c>
    </row>
    <row r="2" spans="1:14" x14ac:dyDescent="0.25">
      <c r="A2" s="32" t="s">
        <v>87</v>
      </c>
      <c r="E2">
        <f>(EventsPerSecond-BERegrConst3*BERegrConst2)/(BERegrConst1*BERegrConst3)</f>
        <v>5.243518805182882</v>
      </c>
    </row>
    <row r="3" spans="1:14" x14ac:dyDescent="0.25">
      <c r="A3" s="6" t="s">
        <v>43</v>
      </c>
      <c r="E3">
        <f>MAX(IF(TargetBERegr&gt;0,ROUNDUP(TargetBERegr,0),0)+1,MinimalBENodes)</f>
        <v>7</v>
      </c>
    </row>
    <row r="4" spans="1:14" x14ac:dyDescent="0.25">
      <c r="A4" s="25" t="s">
        <v>70</v>
      </c>
      <c r="E4">
        <f>IF(TargetBENodes&lt;=LimitBENodes,TargetBENodes,CONCATENATE("greater than ",LimitBENodes))</f>
        <v>7</v>
      </c>
    </row>
    <row r="6" spans="1:14" ht="26.4" x14ac:dyDescent="0.25">
      <c r="A6" t="s">
        <v>86</v>
      </c>
      <c r="E6">
        <f>(AvgEventsPerSecond-BERegrConst3*BERegrConst2)/(BERegrConst1*BERegrConst3)</f>
        <v>0.45833333333333315</v>
      </c>
    </row>
    <row r="7" spans="1:14" x14ac:dyDescent="0.25">
      <c r="A7" s="7" t="s">
        <v>84</v>
      </c>
      <c r="E7">
        <f>MAX(IF(MinBERegr&gt;0,ROUNDUP(MinBERegr,0),0)+1,MinimalBENodes)</f>
        <v>3</v>
      </c>
    </row>
    <row r="8" spans="1:14" x14ac:dyDescent="0.25">
      <c r="A8" s="29" t="s">
        <v>70</v>
      </c>
      <c r="E8">
        <f>IF(MinBENodes&lt;=LimitBENodes,MinBENodes,CONCATENATE("greater than ",LimitBENodes))</f>
        <v>3</v>
      </c>
    </row>
    <row r="10" spans="1:14" x14ac:dyDescent="0.25">
      <c r="F10" s="17"/>
      <c r="G10" s="27"/>
      <c r="I10" s="27"/>
      <c r="J10" s="27"/>
      <c r="L10" s="27"/>
      <c r="N10" s="27"/>
    </row>
    <row r="11" spans="1:14" x14ac:dyDescent="0.25">
      <c r="A11" s="26" t="s">
        <v>78</v>
      </c>
      <c r="B11" s="7"/>
      <c r="C11" s="7"/>
      <c r="D11" s="7"/>
      <c r="E11" s="7"/>
      <c r="F11" s="7"/>
      <c r="I11" s="27"/>
    </row>
    <row r="12" spans="1:14" x14ac:dyDescent="0.25">
      <c r="A12" s="6" t="s">
        <v>72</v>
      </c>
      <c r="B12" s="6">
        <v>0.2</v>
      </c>
      <c r="C12" s="7"/>
      <c r="D12" s="7"/>
      <c r="E12" s="7"/>
      <c r="F12" s="7"/>
    </row>
    <row r="13" spans="1:14" x14ac:dyDescent="0.25">
      <c r="A13" s="6" t="s">
        <v>73</v>
      </c>
      <c r="B13" s="7">
        <v>0.8</v>
      </c>
      <c r="C13" s="7"/>
      <c r="D13" s="7"/>
      <c r="E13" s="7"/>
      <c r="F13" s="7"/>
    </row>
    <row r="14" spans="1:14" x14ac:dyDescent="0.25">
      <c r="A14" s="6" t="s">
        <v>77</v>
      </c>
      <c r="B14" s="7">
        <f>B15*B16</f>
        <v>250</v>
      </c>
      <c r="C14" s="7"/>
      <c r="D14" s="31" t="s">
        <v>80</v>
      </c>
      <c r="E14" s="7"/>
      <c r="F14" s="7"/>
    </row>
    <row r="15" spans="1:14" x14ac:dyDescent="0.25">
      <c r="A15" s="6"/>
      <c r="B15" s="7">
        <v>8</v>
      </c>
      <c r="C15" s="6"/>
      <c r="D15" s="31" t="s">
        <v>79</v>
      </c>
      <c r="E15" s="7"/>
      <c r="F15" s="7"/>
    </row>
    <row r="16" spans="1:14" x14ac:dyDescent="0.25">
      <c r="A16" s="6"/>
      <c r="B16" s="7">
        <v>31.25</v>
      </c>
      <c r="C16" s="6"/>
      <c r="D16" s="31" t="s">
        <v>85</v>
      </c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6" t="s">
        <v>88</v>
      </c>
      <c r="B18" s="7">
        <v>1</v>
      </c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5"/>
  <dimension ref="A1:E22"/>
  <sheetViews>
    <sheetView workbookViewId="0">
      <selection activeCell="B16" sqref="B16"/>
    </sheetView>
  </sheetViews>
  <sheetFormatPr defaultColWidth="17.109375" defaultRowHeight="12.75" customHeight="1" x14ac:dyDescent="0.25"/>
  <cols>
    <col min="1" max="1" width="25" customWidth="1"/>
    <col min="4" max="4" width="20.5546875" customWidth="1"/>
    <col min="5" max="5" width="14.6640625" customWidth="1"/>
  </cols>
  <sheetData>
    <row r="1" spans="1:5" ht="12.75" customHeight="1" x14ac:dyDescent="0.25">
      <c r="A1" s="2" t="s">
        <v>17</v>
      </c>
      <c r="E1" s="20"/>
    </row>
    <row r="2" spans="1:5" ht="12.75" customHeight="1" x14ac:dyDescent="0.25">
      <c r="A2" t="s">
        <v>18</v>
      </c>
      <c r="B2" s="17">
        <f>VisitsPerHour/3600</f>
        <v>13.888888888888889</v>
      </c>
      <c r="D2" s="3"/>
    </row>
    <row r="3" spans="1:5" ht="12.75" customHeight="1" x14ac:dyDescent="0.25">
      <c r="A3" t="s">
        <v>19</v>
      </c>
      <c r="B3" s="17">
        <f>AvgPagesPerVisit</f>
        <v>5</v>
      </c>
      <c r="D3" s="3"/>
    </row>
    <row r="4" spans="1:5" ht="12.75" customHeight="1" x14ac:dyDescent="0.25">
      <c r="A4" t="s">
        <v>54</v>
      </c>
      <c r="B4" s="17">
        <f>SQRT(B2)</f>
        <v>3.7267799624996494</v>
      </c>
      <c r="D4" s="3"/>
    </row>
    <row r="5" spans="1:5" ht="12.75" customHeight="1" x14ac:dyDescent="0.25">
      <c r="A5" s="27" t="s">
        <v>74</v>
      </c>
      <c r="B5" s="30">
        <f>VisitsPerSecond+(4*VisitsPerSecondStdDev)</f>
        <v>28.796008738887487</v>
      </c>
    </row>
    <row r="6" spans="1:5" ht="12.75" customHeight="1" x14ac:dyDescent="0.25">
      <c r="A6" t="s">
        <v>75</v>
      </c>
      <c r="B6" s="30">
        <f>MAX(AdjVisitsPerSecond,MaxVisitsPerHour/SecPerHour)</f>
        <v>28.796008738887487</v>
      </c>
    </row>
    <row r="7" spans="1:5" ht="12.75" customHeight="1" x14ac:dyDescent="0.25">
      <c r="A7" s="27" t="s">
        <v>76</v>
      </c>
      <c r="B7" s="17">
        <f>AdjMaxVisitsPerSecond*AvgPagesPerVisit</f>
        <v>143.98004369443743</v>
      </c>
    </row>
    <row r="8" spans="1:5" ht="12.75" customHeight="1" x14ac:dyDescent="0.25">
      <c r="A8" s="29" t="s">
        <v>83</v>
      </c>
      <c r="B8" s="17">
        <f>VisitsPerSecond*AvgPagesPerVisit</f>
        <v>69.444444444444443</v>
      </c>
    </row>
    <row r="10" spans="1:5" ht="12.75" customHeight="1" x14ac:dyDescent="0.25">
      <c r="A10" s="2" t="s">
        <v>20</v>
      </c>
    </row>
    <row r="11" spans="1:5" ht="12.75" customHeight="1" x14ac:dyDescent="0.25">
      <c r="A11" t="s">
        <v>21</v>
      </c>
      <c r="B11">
        <v>1</v>
      </c>
    </row>
    <row r="12" spans="1:5" ht="12.75" customHeight="1" x14ac:dyDescent="0.25">
      <c r="A12" t="s">
        <v>22</v>
      </c>
      <c r="B12">
        <v>2</v>
      </c>
    </row>
    <row r="13" spans="1:5" ht="12.75" customHeight="1" x14ac:dyDescent="0.25">
      <c r="A13" t="s">
        <v>50</v>
      </c>
      <c r="B13">
        <f>3600</f>
        <v>3600</v>
      </c>
    </row>
    <row r="15" spans="1:5" ht="12.75" customHeight="1" x14ac:dyDescent="0.25">
      <c r="A15" t="s">
        <v>81</v>
      </c>
      <c r="B15" s="18">
        <f>(AdjMaxVisitsPerSecond*EventsPerVisit)+(PagesPerSecond*EventsPerPage)</f>
        <v>462.17594025914411</v>
      </c>
    </row>
    <row r="16" spans="1:5" ht="12.75" customHeight="1" x14ac:dyDescent="0.25">
      <c r="A16" t="s">
        <v>82</v>
      </c>
      <c r="B16" s="18">
        <f>(VisitsPerSecond*EventsPerVisit)+(AvgPagesPerSecond*EventsPerPage)</f>
        <v>222.91666666666666</v>
      </c>
    </row>
    <row r="17" spans="1:4" ht="12.75" customHeight="1" x14ac:dyDescent="0.25">
      <c r="B17" s="18"/>
    </row>
    <row r="18" spans="1:4" ht="12.75" customHeight="1" x14ac:dyDescent="0.25">
      <c r="A18" t="s">
        <v>23</v>
      </c>
      <c r="B18" s="19">
        <f>EventsPerSecond+AuxRequestsPerPage*PagesPerSecond+AuxRequestsPerVisit*VisitsPerSecond</f>
        <v>633.93376173135937</v>
      </c>
    </row>
    <row r="20" spans="1:4" ht="12.75" customHeight="1" x14ac:dyDescent="0.25">
      <c r="A20" t="s">
        <v>24</v>
      </c>
      <c r="B20">
        <f>IF(CassandraConnect=1,ROUND(RequestsPerSecond/1000,0),TargetCassandraInternal)</f>
        <v>1</v>
      </c>
      <c r="C20" t="s">
        <v>103</v>
      </c>
      <c r="D20">
        <f>MAX(INT((IF(CassandraConnect=1,RequestsPerSecond,RequestsPerSecond*1.08)-RegrConst2)/RegrConst1+1),MinimalFENodes)</f>
        <v>2</v>
      </c>
    </row>
    <row r="22" spans="1:4" ht="12.75" customHeight="1" x14ac:dyDescent="0.25">
      <c r="A22" s="25" t="s">
        <v>70</v>
      </c>
      <c r="B22">
        <f>IF(TargetFENodes&lt;=LimitFENodes,TargetFENodes,CONCATENATE("greater than ",LimitFENodes))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93</vt:i4>
      </vt:variant>
    </vt:vector>
  </HeadingPairs>
  <TitlesOfParts>
    <vt:vector size="103" baseType="lpstr">
      <vt:lpstr>Main</vt:lpstr>
      <vt:lpstr>Server profiles</vt:lpstr>
      <vt:lpstr>Data Transfer</vt:lpstr>
      <vt:lpstr>D_Transfer</vt:lpstr>
      <vt:lpstr>Reporting Server</vt:lpstr>
      <vt:lpstr>TimeUnits</vt:lpstr>
      <vt:lpstr>Disk size calculation</vt:lpstr>
      <vt:lpstr>Backend Load Calculation</vt:lpstr>
      <vt:lpstr>Frontend Load Calculation</vt:lpstr>
      <vt:lpstr>Data</vt:lpstr>
      <vt:lpstr>AdjBENodes</vt:lpstr>
      <vt:lpstr>AdjFENodes</vt:lpstr>
      <vt:lpstr>AdjMaxVisitsPerSecond</vt:lpstr>
      <vt:lpstr>AdjMinBENodes</vt:lpstr>
      <vt:lpstr>AdjVisitsPerSecond</vt:lpstr>
      <vt:lpstr>AuxRequestsPerPage</vt:lpstr>
      <vt:lpstr>AuxRequestsPerVisit</vt:lpstr>
      <vt:lpstr>AvgEventSize</vt:lpstr>
      <vt:lpstr>AvgEventSizeCompressed</vt:lpstr>
      <vt:lpstr>AvgEventSizeCompressedNew</vt:lpstr>
      <vt:lpstr>AvgEventSizeCompressedOld</vt:lpstr>
      <vt:lpstr>AvgEventSizeNew</vt:lpstr>
      <vt:lpstr>AvgEventsPerSecond</vt:lpstr>
      <vt:lpstr>AvgPagesPerSecond</vt:lpstr>
      <vt:lpstr>AvgPagesPerVisit</vt:lpstr>
      <vt:lpstr>BERegrConst1</vt:lpstr>
      <vt:lpstr>BERegrConst2</vt:lpstr>
      <vt:lpstr>BERegrConst3</vt:lpstr>
      <vt:lpstr>ByteToGb</vt:lpstr>
      <vt:lpstr>CalculateCountShards</vt:lpstr>
      <vt:lpstr>CassandraConnect</vt:lpstr>
      <vt:lpstr>CassandraRF</vt:lpstr>
      <vt:lpstr>CustomEventsPerPage</vt:lpstr>
      <vt:lpstr>CustomEventsPerVisit</vt:lpstr>
      <vt:lpstr>EntityTimeUnit</vt:lpstr>
      <vt:lpstr>EntityTTL</vt:lpstr>
      <vt:lpstr>EventSizeCat0Compr0</vt:lpstr>
      <vt:lpstr>EventSizeCat0Compr1</vt:lpstr>
      <vt:lpstr>EventSizeCat1Compr0</vt:lpstr>
      <vt:lpstr>EventSizeCat1Compr1</vt:lpstr>
      <vt:lpstr>EventSizeCat2Compr0</vt:lpstr>
      <vt:lpstr>EventSizeCat2Compr1</vt:lpstr>
      <vt:lpstr>EventsPerHour</vt:lpstr>
      <vt:lpstr>EventsPerPage</vt:lpstr>
      <vt:lpstr>EventsPerPageDef</vt:lpstr>
      <vt:lpstr>EventsPerSecond</vt:lpstr>
      <vt:lpstr>EventsPerVisit</vt:lpstr>
      <vt:lpstr>EventsPerVisitDef</vt:lpstr>
      <vt:lpstr>EventsStored</vt:lpstr>
      <vt:lpstr>GarpCountNodes</vt:lpstr>
      <vt:lpstr>GarpCycleJobTask</vt:lpstr>
      <vt:lpstr>GarpFreqJob</vt:lpstr>
      <vt:lpstr>GradCountRowInPartion</vt:lpstr>
      <vt:lpstr>GradNumberFullScan</vt:lpstr>
      <vt:lpstr>GradParallelPartions</vt:lpstr>
      <vt:lpstr>GradTimeForPartion</vt:lpstr>
      <vt:lpstr>InterRegionPort7000</vt:lpstr>
      <vt:lpstr>IntraRegionPort7000</vt:lpstr>
      <vt:lpstr>IntraRegionPort9042</vt:lpstr>
      <vt:lpstr>IntraRegionPort9081</vt:lpstr>
      <vt:lpstr>IntraRegionPort9300</vt:lpstr>
      <vt:lpstr>LimitBENodes</vt:lpstr>
      <vt:lpstr>LimitFENodes</vt:lpstr>
      <vt:lpstr>MaxFENodes</vt:lpstr>
      <vt:lpstr>MaxFERPS</vt:lpstr>
      <vt:lpstr>MaxVisitsPerHour</vt:lpstr>
      <vt:lpstr>MinBENodes</vt:lpstr>
      <vt:lpstr>MinBERegr</vt:lpstr>
      <vt:lpstr>MinimalBENodes</vt:lpstr>
      <vt:lpstr>MinimalFENodes</vt:lpstr>
      <vt:lpstr>MinNodesGDPS</vt:lpstr>
      <vt:lpstr>NumberOfCassandraNodes</vt:lpstr>
      <vt:lpstr>PagesPerHour</vt:lpstr>
      <vt:lpstr>PagesPerSecond</vt:lpstr>
      <vt:lpstr>Port7000</vt:lpstr>
      <vt:lpstr>Port7000otherRegion</vt:lpstr>
      <vt:lpstr>Port9042</vt:lpstr>
      <vt:lpstr>Port9081</vt:lpstr>
      <vt:lpstr>Port9300</vt:lpstr>
      <vt:lpstr>RegrConst1</vt:lpstr>
      <vt:lpstr>RegrConst2</vt:lpstr>
      <vt:lpstr>ReplicationFactor</vt:lpstr>
      <vt:lpstr>RequestsPerSecond</vt:lpstr>
      <vt:lpstr>SecPerHour</vt:lpstr>
      <vt:lpstr>ShardHight</vt:lpstr>
      <vt:lpstr>ShardInternal</vt:lpstr>
      <vt:lpstr>ShardNormal</vt:lpstr>
      <vt:lpstr>ShardPerformanceExt</vt:lpstr>
      <vt:lpstr>ShardPerformanceInt</vt:lpstr>
      <vt:lpstr>SparkCacheReadDuration</vt:lpstr>
      <vt:lpstr>TargetBENodes</vt:lpstr>
      <vt:lpstr>TargetBERegr</vt:lpstr>
      <vt:lpstr>TargetCassandraHight</vt:lpstr>
      <vt:lpstr>TargetCassandraInternal</vt:lpstr>
      <vt:lpstr>TargetCassandraNormal</vt:lpstr>
      <vt:lpstr>TargetFENodes</vt:lpstr>
      <vt:lpstr>TargetNumberShadrs</vt:lpstr>
      <vt:lpstr>TimeForPartion</vt:lpstr>
      <vt:lpstr>TimeUnit</vt:lpstr>
      <vt:lpstr>VisitsPerHour</vt:lpstr>
      <vt:lpstr>VisitsPerSecond</vt:lpstr>
      <vt:lpstr>VisitsPerSecondStdDev</vt:lpstr>
      <vt:lpstr>YearToMonth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 Nikulin</dc:creator>
  <cp:lastModifiedBy>Oleg Belous</cp:lastModifiedBy>
  <cp:lastPrinted>2013-06-13T14:22:44Z</cp:lastPrinted>
  <dcterms:created xsi:type="dcterms:W3CDTF">2013-06-18T14:57:17Z</dcterms:created>
  <dcterms:modified xsi:type="dcterms:W3CDTF">2016-08-26T08:46:21Z</dcterms:modified>
</cp:coreProperties>
</file>