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embeddings/oleObject1.bin" ContentType="application/vnd.openxmlformats-officedocument.oleObject"/>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431"/>
  <workbookPr codeName="ThisWorkbook" defaultThemeVersion="124226"/>
  <mc:AlternateContent xmlns:mc="http://schemas.openxmlformats.org/markup-compatibility/2006">
    <mc:Choice Requires="x15">
      <x15ac:absPath xmlns:x15ac="http://schemas.microsoft.com/office/spreadsheetml/2010/11/ac" url="C:\Projects\System-Level-Guides\DB-Sizing\"/>
    </mc:Choice>
  </mc:AlternateContent>
  <bookViews>
    <workbookView xWindow="0" yWindow="0" windowWidth="18792" windowHeight="7596" tabRatio="932"/>
  </bookViews>
  <sheets>
    <sheet name="Cover" sheetId="28" r:id="rId1"/>
    <sheet name="Contact" sheetId="23" r:id="rId2"/>
    <sheet name="ConfigServer" sheetId="5" r:id="rId3"/>
    <sheet name="DataMart" sheetId="6" r:id="rId4"/>
    <sheet name="GIM" sheetId="35" r:id="rId5"/>
    <sheet name="GKC" sheetId="37" r:id="rId6"/>
    <sheet name="GVP " sheetId="29" r:id="rId7"/>
    <sheet name="ICON" sheetId="36" r:id="rId8"/>
    <sheet name="iWD Sizing Calculator" sheetId="31" r:id="rId9"/>
    <sheet name="LRM" sheetId="32" r:id="rId10"/>
    <sheet name="Multimedia" sheetId="16" r:id="rId11"/>
    <sheet name="OCS" sheetId="22" r:id="rId12"/>
    <sheet name="WFM Oracle" sheetId="24" r:id="rId13"/>
    <sheet name="WFM MSSQL" sheetId="25" r:id="rId14"/>
    <sheet name="WFM DB2" sheetId="26" r:id="rId15"/>
    <sheet name="ICON_IDBSize" sheetId="14" state="hidden" r:id="rId16"/>
    <sheet name="IconRowSizes" sheetId="15" state="hidden" r:id="rId17"/>
    <sheet name="UCS 9.1" sheetId="38" r:id="rId18"/>
    <sheet name="UCS 8.x" sheetId="30" r:id="rId19"/>
  </sheets>
  <definedNames>
    <definedName name="AttachementSize">'UCS 8.x'!$B$45</definedName>
    <definedName name="AutoReplySize">'UCS 8.x'!$B$47</definedName>
    <definedName name="AvgEmailSize">'UCS 8.x'!$B$44</definedName>
    <definedName name="AvgLengthStringAttrsIdKeys">'UCS 8.x'!$B$13</definedName>
    <definedName name="AvgStrLengthProfExt">'UCS 8.x'!$B$9</definedName>
    <definedName name="AvgStrLengthServiceExtension">'UCS 8.x'!$B$28</definedName>
    <definedName name="AvgStrLengthStateExtension">'UCS 8.x'!$B$32</definedName>
    <definedName name="AvgStrLengthTaskExtension">'UCS 8.x'!$B$36</definedName>
    <definedName name="interactionRetention">'UCS 8.x'!$B$51</definedName>
    <definedName name="Interactions_per_Day">#REF!</definedName>
    <definedName name="isf_GlsIvr">#REF!</definedName>
    <definedName name="isf_NoPerson">#REF!</definedName>
    <definedName name="isf_ObserverParty">#REF!</definedName>
    <definedName name="nbChatPerDay">'UCS 8.x'!$B$50</definedName>
    <definedName name="nbContact">'UCS 8.x'!$B$48</definedName>
    <definedName name="NbCoreAttribute">'UCS 8.x'!$B$5</definedName>
    <definedName name="nbEmailPerDay">'UCS 8.x'!$B$49</definedName>
    <definedName name="NbFixedAttrExtension">'UCS 8.x'!$B$7</definedName>
    <definedName name="NbFixedAttrServiceExtension">'UCS 8.x'!$B$26</definedName>
    <definedName name="NbFixedAttrsIdKeys">'UCS 8.x'!$B$11</definedName>
    <definedName name="NbFixedAttrStateExtension">'UCS 8.x'!$B$30</definedName>
    <definedName name="NbFixedAttrTaskExtension">'UCS 8.x'!$B$34</definedName>
    <definedName name="NbIdKeys">'UCS 8.x'!$B$10</definedName>
    <definedName name="NbProfile">'UCS 8.x'!$B$4</definedName>
    <definedName name="NbProfileExtensions">'UCS 8.x'!$B$6</definedName>
    <definedName name="NbServiceExtension">'UCS 8.x'!$B$25</definedName>
    <definedName name="nbServicePerDay">'UCS 8.x'!$B$21</definedName>
    <definedName name="NbStateExtension">'UCS 8.x'!$B$29</definedName>
    <definedName name="NbStatePerService">'UCS 8.x'!$B$23</definedName>
    <definedName name="NbStrAttrExtension">'UCS 8.x'!$B$8</definedName>
    <definedName name="NbStrAttrServiceExtension">'UCS 8.x'!$B$27</definedName>
    <definedName name="NbStrAttrStateExtension">'UCS 8.x'!$B$31</definedName>
    <definedName name="NbStrAttrTaskExtension">'UCS 8.x'!$B$35</definedName>
    <definedName name="NbStringAttrsIdKeys">'UCS 8.x'!$B$12</definedName>
    <definedName name="NbTaskExtension">'UCS 8.x'!$B$33</definedName>
    <definedName name="NbTaskPerService">'UCS 8.x'!$B$24</definedName>
    <definedName name="Percent_of_observed_interactions">#REF!</definedName>
    <definedName name="PercentageOfEmailsWithAttachement">'UCS 8.x'!$B$46</definedName>
    <definedName name="serviceRetention">'UCS 8.x'!$B$22</definedName>
    <definedName name="solver_cvg" localSheetId="11" hidden="1">0.0001</definedName>
    <definedName name="solver_drv" localSheetId="11" hidden="1">1</definedName>
    <definedName name="solver_est" localSheetId="11" hidden="1">1</definedName>
    <definedName name="solver_itr" localSheetId="11" hidden="1">100</definedName>
    <definedName name="solver_lin" localSheetId="11" hidden="1">2</definedName>
    <definedName name="solver_neg" localSheetId="11" hidden="1">2</definedName>
    <definedName name="solver_num" localSheetId="11" hidden="1">0</definedName>
    <definedName name="solver_nwt" localSheetId="11" hidden="1">1</definedName>
    <definedName name="solver_opt" localSheetId="11" hidden="1">OCS!$D$10</definedName>
    <definedName name="solver_pre" localSheetId="11" hidden="1">0.000001</definedName>
    <definedName name="solver_scl" localSheetId="11" hidden="1">2</definedName>
    <definedName name="solver_sho" localSheetId="11" hidden="1">2</definedName>
    <definedName name="solver_tim" localSheetId="11" hidden="1">100</definedName>
    <definedName name="solver_tol" localSheetId="11" hidden="1">0.05</definedName>
    <definedName name="solver_typ" localSheetId="11" hidden="1">3</definedName>
    <definedName name="solver_val" localSheetId="11" hidden="1">0</definedName>
    <definedName name="totalUCSCS">'UCS 8.x'!$B$55</definedName>
  </definedNames>
  <calcPr calcId="171027"/>
</workbook>
</file>

<file path=xl/calcChain.xml><?xml version="1.0" encoding="utf-8"?>
<calcChain xmlns="http://schemas.openxmlformats.org/spreadsheetml/2006/main">
  <c r="B53" i="30" l="1"/>
  <c r="C36" i="31"/>
  <c r="C35" i="31"/>
  <c r="C34" i="31"/>
  <c r="E29" i="31"/>
  <c r="E28" i="31"/>
  <c r="E27" i="31"/>
  <c r="C27" i="31"/>
  <c r="E26" i="31"/>
  <c r="C26" i="31"/>
  <c r="E25" i="31"/>
  <c r="C25" i="31"/>
  <c r="E24" i="31"/>
  <c r="B20" i="31"/>
  <c r="B19" i="31"/>
  <c r="B18" i="31"/>
  <c r="A14" i="31"/>
  <c r="B27" i="31" s="1"/>
  <c r="C11" i="31"/>
  <c r="C10" i="31"/>
  <c r="C9" i="31"/>
  <c r="C8" i="31"/>
  <c r="C7" i="31"/>
  <c r="C6" i="31"/>
  <c r="C5" i="31"/>
  <c r="C4" i="31"/>
  <c r="B40" i="30"/>
  <c r="B39" i="30"/>
  <c r="B38" i="30"/>
  <c r="B17" i="30"/>
  <c r="B16" i="30"/>
  <c r="B15" i="30"/>
  <c r="K47" i="29"/>
  <c r="K46" i="29"/>
  <c r="K45" i="29"/>
  <c r="K44" i="29"/>
  <c r="K43" i="29"/>
  <c r="K42" i="29"/>
  <c r="K41" i="29"/>
  <c r="L41" i="29" s="1"/>
  <c r="K40" i="29"/>
  <c r="K39" i="29"/>
  <c r="K38" i="29"/>
  <c r="K37" i="29"/>
  <c r="K36" i="29"/>
  <c r="K35" i="29"/>
  <c r="K34" i="29"/>
  <c r="L34" i="29"/>
  <c r="K33" i="29"/>
  <c r="K32" i="29"/>
  <c r="K31" i="29"/>
  <c r="K30" i="29"/>
  <c r="L29" i="29" s="1"/>
  <c r="K29" i="29"/>
  <c r="K28" i="29"/>
  <c r="K27" i="29"/>
  <c r="K26" i="29"/>
  <c r="K25" i="29"/>
  <c r="K24" i="29"/>
  <c r="K23" i="29"/>
  <c r="K22" i="29"/>
  <c r="K21" i="29"/>
  <c r="K20" i="29"/>
  <c r="K19" i="29"/>
  <c r="K18" i="29"/>
  <c r="L18" i="29" s="1"/>
  <c r="K17" i="29"/>
  <c r="L17" i="29" s="1"/>
  <c r="K16" i="29"/>
  <c r="K15" i="29"/>
  <c r="K14" i="29"/>
  <c r="K13" i="29"/>
  <c r="K12" i="29"/>
  <c r="K11" i="29"/>
  <c r="K10" i="29"/>
  <c r="L10" i="29" s="1"/>
  <c r="K9" i="29"/>
  <c r="K8" i="29"/>
  <c r="K7" i="29"/>
  <c r="K6" i="29"/>
  <c r="K5" i="29"/>
  <c r="K4" i="29"/>
  <c r="K3" i="29"/>
  <c r="L3" i="29" s="1"/>
  <c r="B27" i="26"/>
  <c r="C27" i="26" s="1"/>
  <c r="B29" i="26"/>
  <c r="C29" i="26" s="1"/>
  <c r="B30" i="26"/>
  <c r="B31" i="26"/>
  <c r="C31" i="26" s="1"/>
  <c r="B32" i="26"/>
  <c r="C32" i="26" s="1"/>
  <c r="B33" i="26"/>
  <c r="C33" i="26" s="1"/>
  <c r="B34" i="26"/>
  <c r="C34" i="26" s="1"/>
  <c r="B35" i="26"/>
  <c r="B36" i="26"/>
  <c r="C36" i="26" s="1"/>
  <c r="B37" i="26"/>
  <c r="C37" i="26" s="1"/>
  <c r="B38" i="26"/>
  <c r="C38" i="26" s="1"/>
  <c r="B39" i="26"/>
  <c r="C39" i="26" s="1"/>
  <c r="B40" i="26"/>
  <c r="C40" i="26" s="1"/>
  <c r="B41" i="26"/>
  <c r="C41" i="26" s="1"/>
  <c r="B22" i="26"/>
  <c r="B42" i="26" s="1"/>
  <c r="C42" i="26" s="1"/>
  <c r="B45" i="26"/>
  <c r="B46" i="26"/>
  <c r="C46" i="26" s="1"/>
  <c r="B47" i="26"/>
  <c r="C47" i="26" s="1"/>
  <c r="B48" i="26"/>
  <c r="C48" i="26" s="1"/>
  <c r="B49" i="26"/>
  <c r="C49" i="26" s="1"/>
  <c r="C45" i="26"/>
  <c r="C35" i="26"/>
  <c r="C30" i="26"/>
  <c r="B27" i="25"/>
  <c r="B29" i="25"/>
  <c r="C29" i="25" s="1"/>
  <c r="B30" i="25"/>
  <c r="C30" i="25" s="1"/>
  <c r="B31" i="25"/>
  <c r="C31" i="25" s="1"/>
  <c r="B32" i="25"/>
  <c r="C32" i="25" s="1"/>
  <c r="B33" i="25"/>
  <c r="B34" i="25"/>
  <c r="C34" i="25" s="1"/>
  <c r="B35" i="25"/>
  <c r="C35" i="25" s="1"/>
  <c r="B36" i="25"/>
  <c r="C36" i="25" s="1"/>
  <c r="B37" i="25"/>
  <c r="C37" i="25" s="1"/>
  <c r="B38" i="25"/>
  <c r="C38" i="25" s="1"/>
  <c r="B39" i="25"/>
  <c r="C39" i="25" s="1"/>
  <c r="B40" i="25"/>
  <c r="C40" i="25" s="1"/>
  <c r="B41" i="25"/>
  <c r="C41" i="25" s="1"/>
  <c r="B22" i="25"/>
  <c r="B43" i="25" s="1"/>
  <c r="C43" i="25" s="1"/>
  <c r="B45" i="25"/>
  <c r="C45" i="25" s="1"/>
  <c r="B46" i="25"/>
  <c r="C46" i="25" s="1"/>
  <c r="B47" i="25"/>
  <c r="C47" i="25" s="1"/>
  <c r="B48" i="25"/>
  <c r="C48" i="25" s="1"/>
  <c r="B49" i="25"/>
  <c r="C49" i="25" s="1"/>
  <c r="C33" i="25"/>
  <c r="B27" i="24"/>
  <c r="C27" i="24" s="1"/>
  <c r="B29" i="24"/>
  <c r="C29" i="24" s="1"/>
  <c r="B30" i="24"/>
  <c r="C30" i="24" s="1"/>
  <c r="B31" i="24"/>
  <c r="B32" i="24"/>
  <c r="C32" i="24" s="1"/>
  <c r="B33" i="24"/>
  <c r="C33" i="24" s="1"/>
  <c r="B34" i="24"/>
  <c r="C34" i="24" s="1"/>
  <c r="B35" i="24"/>
  <c r="C35" i="24" s="1"/>
  <c r="B36" i="24"/>
  <c r="B37" i="24"/>
  <c r="C37" i="24" s="1"/>
  <c r="B38" i="24"/>
  <c r="C38" i="24" s="1"/>
  <c r="B39" i="24"/>
  <c r="B40" i="24"/>
  <c r="C40" i="24" s="1"/>
  <c r="B41" i="24"/>
  <c r="C41" i="24" s="1"/>
  <c r="B22" i="24"/>
  <c r="B44" i="24" s="1"/>
  <c r="C44" i="24" s="1"/>
  <c r="B45" i="24"/>
  <c r="C45" i="24"/>
  <c r="B46" i="24"/>
  <c r="C46" i="24" s="1"/>
  <c r="B47" i="24"/>
  <c r="C47" i="24" s="1"/>
  <c r="B48" i="24"/>
  <c r="C48" i="24" s="1"/>
  <c r="B49" i="24"/>
  <c r="C49" i="24" s="1"/>
  <c r="C39" i="24"/>
  <c r="C36" i="24"/>
  <c r="C31" i="24"/>
  <c r="B36" i="22"/>
  <c r="C10" i="22"/>
  <c r="B14" i="16"/>
  <c r="B13" i="16"/>
  <c r="B2" i="15"/>
  <c r="C2" i="15"/>
  <c r="D2" i="15"/>
  <c r="I2" i="15"/>
  <c r="F2" i="15"/>
  <c r="G2" i="15"/>
  <c r="E2" i="15"/>
  <c r="H2" i="15"/>
  <c r="J2" i="15"/>
  <c r="K2" i="15"/>
  <c r="L2" i="15"/>
  <c r="C45" i="14"/>
  <c r="G45" i="14" s="1"/>
  <c r="C44" i="14"/>
  <c r="G44" i="14" s="1"/>
  <c r="C15" i="14"/>
  <c r="G15" i="14" s="1"/>
  <c r="C42" i="14"/>
  <c r="G42" i="14" s="1"/>
  <c r="O2" i="15"/>
  <c r="R2" i="15" s="1"/>
  <c r="B49" i="14" s="1"/>
  <c r="M2" i="15"/>
  <c r="Q2" i="15" s="1"/>
  <c r="B48" i="14" s="1"/>
  <c r="P2" i="15"/>
  <c r="C2" i="14"/>
  <c r="G2" i="14" s="1"/>
  <c r="B50" i="14"/>
  <c r="C3" i="14"/>
  <c r="C4" i="14"/>
  <c r="G4" i="14" s="1"/>
  <c r="C5" i="14"/>
  <c r="G5" i="14" s="1"/>
  <c r="C6" i="14"/>
  <c r="G6" i="14" s="1"/>
  <c r="C14" i="14"/>
  <c r="G14" i="14" s="1"/>
  <c r="C19" i="14"/>
  <c r="G19" i="14" s="1"/>
  <c r="C27" i="14"/>
  <c r="G27" i="14" s="1"/>
  <c r="C28" i="14"/>
  <c r="G28" i="14" s="1"/>
  <c r="C29" i="14"/>
  <c r="G29" i="14" s="1"/>
  <c r="C30" i="14"/>
  <c r="G30" i="14" s="1"/>
  <c r="C31" i="14"/>
  <c r="G31" i="14" s="1"/>
  <c r="C32" i="14"/>
  <c r="G32" i="14" s="1"/>
  <c r="C33" i="14"/>
  <c r="G33" i="14" s="1"/>
  <c r="C34" i="14"/>
  <c r="G34" i="14" s="1"/>
  <c r="C35" i="14"/>
  <c r="G35" i="14" s="1"/>
  <c r="C36" i="14"/>
  <c r="G36" i="14" s="1"/>
  <c r="C17" i="14"/>
  <c r="C18" i="14" s="1"/>
  <c r="G18" i="14" s="1"/>
  <c r="C23" i="14"/>
  <c r="G23" i="14" s="1"/>
  <c r="C26" i="14"/>
  <c r="G26" i="14" s="1"/>
  <c r="G10" i="14"/>
  <c r="G11" i="14"/>
  <c r="G12" i="14"/>
  <c r="G24" i="14"/>
  <c r="B51" i="14"/>
  <c r="N2" i="15"/>
  <c r="B58" i="6" a="1"/>
  <c r="B58" i="6" s="1"/>
  <c r="B68" i="6" s="1"/>
  <c r="C2" i="6"/>
  <c r="B52" i="5"/>
  <c r="C16" i="14"/>
  <c r="G16" i="14" s="1"/>
  <c r="C7" i="14"/>
  <c r="C9" i="14" s="1"/>
  <c r="G9" i="14" s="1"/>
  <c r="C8" i="14"/>
  <c r="G8" i="14" s="1"/>
  <c r="B42" i="25" l="1"/>
  <c r="C42" i="25" s="1"/>
  <c r="B64" i="6"/>
  <c r="B44" i="25"/>
  <c r="C44" i="25" s="1"/>
  <c r="L19" i="29"/>
  <c r="L42" i="29"/>
  <c r="M42" i="29" s="1"/>
  <c r="B43" i="24"/>
  <c r="C43" i="24" s="1"/>
  <c r="L35" i="29"/>
  <c r="D27" i="31"/>
  <c r="B42" i="24"/>
  <c r="C42" i="24" s="1"/>
  <c r="B41" i="30"/>
  <c r="B55" i="30" s="1"/>
  <c r="B57" i="30" s="1"/>
  <c r="L11" i="29"/>
  <c r="L25" i="29"/>
  <c r="N32" i="15"/>
  <c r="N15" i="15"/>
  <c r="B18" i="30"/>
  <c r="L4" i="29"/>
  <c r="M3" i="29" s="1"/>
  <c r="M34" i="29"/>
  <c r="B52" i="25"/>
  <c r="C27" i="25"/>
  <c r="B43" i="26"/>
  <c r="C43" i="26" s="1"/>
  <c r="B44" i="26"/>
  <c r="C44" i="26" s="1"/>
  <c r="B29" i="31"/>
  <c r="D29" i="31" s="1"/>
  <c r="C14" i="31"/>
  <c r="B28" i="31"/>
  <c r="B24" i="31"/>
  <c r="B14" i="31"/>
  <c r="B25" i="31"/>
  <c r="D25" i="31" s="1"/>
  <c r="B26" i="31"/>
  <c r="D26" i="31" s="1"/>
  <c r="N62" i="15"/>
  <c r="O54" i="15"/>
  <c r="P50" i="15"/>
  <c r="N36" i="15"/>
  <c r="N74" i="15"/>
  <c r="N84" i="15"/>
  <c r="E38" i="14" s="1"/>
  <c r="F38" i="14" s="1"/>
  <c r="O73" i="15"/>
  <c r="P61" i="15"/>
  <c r="N51" i="15"/>
  <c r="E5" i="14" s="1"/>
  <c r="P66" i="15"/>
  <c r="Q53" i="15"/>
  <c r="O8" i="15"/>
  <c r="N8" i="15"/>
  <c r="O67" i="15"/>
  <c r="N47" i="15"/>
  <c r="O55" i="15"/>
  <c r="P72" i="15"/>
  <c r="N9" i="15"/>
  <c r="N18" i="15"/>
  <c r="N23" i="15"/>
  <c r="N83" i="15"/>
  <c r="O58" i="15"/>
  <c r="N40" i="15"/>
  <c r="O21" i="15"/>
  <c r="N17" i="15"/>
  <c r="P65" i="15"/>
  <c r="N22" i="15"/>
  <c r="O11" i="15"/>
  <c r="N45" i="15"/>
  <c r="N28" i="15"/>
  <c r="O66" i="15"/>
  <c r="N65" i="15"/>
  <c r="P73" i="15"/>
  <c r="N52" i="15"/>
  <c r="E6" i="14" s="1"/>
  <c r="N67" i="15"/>
  <c r="O83" i="15"/>
  <c r="N72" i="15"/>
  <c r="S53" i="15"/>
  <c r="N60" i="15"/>
  <c r="E14" i="14" s="1"/>
  <c r="O56" i="15"/>
  <c r="N66" i="15"/>
  <c r="O17" i="15"/>
  <c r="O20" i="15"/>
  <c r="N80" i="15"/>
  <c r="E34" i="14" s="1"/>
  <c r="Q61" i="15"/>
  <c r="N59" i="15"/>
  <c r="N48" i="15"/>
  <c r="O57" i="15"/>
  <c r="N61" i="15"/>
  <c r="N63" i="15"/>
  <c r="N46" i="15"/>
  <c r="O19" i="15"/>
  <c r="N69" i="15"/>
  <c r="E23" i="14" s="1"/>
  <c r="O61" i="15"/>
  <c r="N25" i="15"/>
  <c r="O53" i="15"/>
  <c r="N42" i="15"/>
  <c r="N19" i="15"/>
  <c r="N75" i="15"/>
  <c r="E29" i="14" s="1"/>
  <c r="N16" i="15"/>
  <c r="N54" i="15"/>
  <c r="Q73" i="15"/>
  <c r="N81" i="15"/>
  <c r="E35" i="14" s="1"/>
  <c r="N79" i="15"/>
  <c r="N14" i="15"/>
  <c r="N78" i="15"/>
  <c r="E32" i="14" s="1"/>
  <c r="N57" i="15"/>
  <c r="N77" i="15"/>
  <c r="N21" i="15"/>
  <c r="O72" i="15"/>
  <c r="N64" i="15"/>
  <c r="E18" i="14" s="1"/>
  <c r="N50" i="15"/>
  <c r="N10" i="15"/>
  <c r="N55" i="15"/>
  <c r="N39" i="15"/>
  <c r="N11" i="15"/>
  <c r="N68" i="15"/>
  <c r="N49" i="15"/>
  <c r="N13" i="15"/>
  <c r="N53" i="15"/>
  <c r="N82" i="15"/>
  <c r="N58" i="15"/>
  <c r="N20" i="15"/>
  <c r="P83" i="15"/>
  <c r="C20" i="14"/>
  <c r="G20" i="14" s="1"/>
  <c r="O14" i="15"/>
  <c r="N24" i="15"/>
  <c r="O13" i="15"/>
  <c r="N38" i="15"/>
  <c r="N44" i="15"/>
  <c r="O10" i="15"/>
  <c r="C43" i="14"/>
  <c r="G43" i="14" s="1"/>
  <c r="O79" i="15"/>
  <c r="P79" i="15"/>
  <c r="N27" i="15"/>
  <c r="O65" i="15"/>
  <c r="N29" i="15"/>
  <c r="O12" i="15"/>
  <c r="O48" i="15"/>
  <c r="O50" i="15"/>
  <c r="N73" i="15"/>
  <c r="N37" i="15"/>
  <c r="O74" i="15"/>
  <c r="O15" i="15"/>
  <c r="N26" i="15"/>
  <c r="G17" i="14"/>
  <c r="C25" i="14"/>
  <c r="G25" i="14" s="1"/>
  <c r="N43" i="15"/>
  <c r="N33" i="15"/>
  <c r="O16" i="15"/>
  <c r="O18" i="15"/>
  <c r="N31" i="15"/>
  <c r="N30" i="15"/>
  <c r="O9" i="15"/>
  <c r="N35" i="15"/>
  <c r="N41" i="15"/>
  <c r="O49" i="15"/>
  <c r="N76" i="15"/>
  <c r="E30" i="14" s="1"/>
  <c r="N56" i="15"/>
  <c r="N34" i="15"/>
  <c r="N12" i="15"/>
  <c r="O68" i="15"/>
  <c r="O63" i="15"/>
  <c r="P82" i="15"/>
  <c r="M36" i="15"/>
  <c r="M20" i="15"/>
  <c r="M80" i="15"/>
  <c r="B34" i="14" s="1"/>
  <c r="D34" i="14" s="1"/>
  <c r="F34" i="14" s="1"/>
  <c r="M78" i="15"/>
  <c r="B32" i="14" s="1"/>
  <c r="D32" i="14" s="1"/>
  <c r="M76" i="15"/>
  <c r="B30" i="14" s="1"/>
  <c r="D30" i="14" s="1"/>
  <c r="F30" i="14" s="1"/>
  <c r="M65" i="15"/>
  <c r="B19" i="14" s="1"/>
  <c r="D19" i="14" s="1"/>
  <c r="F19" i="14" s="1"/>
  <c r="M52" i="15"/>
  <c r="B6" i="14" s="1"/>
  <c r="D6" i="14" s="1"/>
  <c r="F6" i="14" s="1"/>
  <c r="M50" i="15"/>
  <c r="B4" i="14" s="1"/>
  <c r="D4" i="14" s="1"/>
  <c r="M37" i="15"/>
  <c r="M21" i="15"/>
  <c r="M42" i="15"/>
  <c r="M26" i="15"/>
  <c r="M10" i="15"/>
  <c r="M68" i="15"/>
  <c r="B22" i="14" s="1"/>
  <c r="M79" i="15"/>
  <c r="B33" i="14" s="1"/>
  <c r="D33" i="14" s="1"/>
  <c r="M77" i="15"/>
  <c r="B31" i="14" s="1"/>
  <c r="D31" i="14" s="1"/>
  <c r="O82" i="15"/>
  <c r="P53" i="15"/>
  <c r="O59" i="15"/>
  <c r="M47" i="15"/>
  <c r="M31" i="15"/>
  <c r="M15" i="15"/>
  <c r="M83" i="15"/>
  <c r="B37" i="14" s="1"/>
  <c r="G3" i="14"/>
  <c r="O77" i="15"/>
  <c r="M32" i="15"/>
  <c r="M67" i="15"/>
  <c r="B21" i="14" s="1"/>
  <c r="M62" i="15"/>
  <c r="B16" i="14" s="1"/>
  <c r="D16" i="14" s="1"/>
  <c r="M17" i="15"/>
  <c r="M38" i="15"/>
  <c r="M63" i="15"/>
  <c r="B17" i="14" s="1"/>
  <c r="M81" i="15"/>
  <c r="B35" i="14" s="1"/>
  <c r="D35" i="14" s="1"/>
  <c r="F35" i="14" s="1"/>
  <c r="M82" i="15"/>
  <c r="B36" i="14" s="1"/>
  <c r="D36" i="14" s="1"/>
  <c r="F36" i="14" s="1"/>
  <c r="M43" i="15"/>
  <c r="M27" i="15"/>
  <c r="M11" i="15"/>
  <c r="G7" i="14"/>
  <c r="M40" i="15"/>
  <c r="M24" i="15"/>
  <c r="M8" i="15"/>
  <c r="M70" i="15"/>
  <c r="B24" i="14" s="1"/>
  <c r="D24" i="14" s="1"/>
  <c r="M69" i="15"/>
  <c r="B23" i="14" s="1"/>
  <c r="D23" i="14" s="1"/>
  <c r="F23" i="14" s="1"/>
  <c r="M64" i="15"/>
  <c r="B18" i="14" s="1"/>
  <c r="D18" i="14" s="1"/>
  <c r="F18" i="14" s="1"/>
  <c r="M55" i="15"/>
  <c r="B9" i="14" s="1"/>
  <c r="D9" i="14" s="1"/>
  <c r="M41" i="15"/>
  <c r="M25" i="15"/>
  <c r="M9" i="15"/>
  <c r="M46" i="15"/>
  <c r="M30" i="15"/>
  <c r="M14" i="15"/>
  <c r="M61" i="15"/>
  <c r="B15" i="14" s="1"/>
  <c r="D15" i="14" s="1"/>
  <c r="M71" i="15"/>
  <c r="B25" i="14" s="1"/>
  <c r="M51" i="15"/>
  <c r="B5" i="14" s="1"/>
  <c r="D5" i="14" s="1"/>
  <c r="M59" i="15"/>
  <c r="M57" i="15"/>
  <c r="P62" i="15"/>
  <c r="O62" i="15"/>
  <c r="N70" i="15"/>
  <c r="E24" i="14" s="1"/>
  <c r="M35" i="15"/>
  <c r="M19" i="15"/>
  <c r="N71" i="15"/>
  <c r="E25" i="14" s="1"/>
  <c r="M16" i="15"/>
  <c r="M53" i="15"/>
  <c r="B7" i="14" s="1"/>
  <c r="M33" i="15"/>
  <c r="M84" i="15"/>
  <c r="B38" i="14" s="1"/>
  <c r="M22" i="15"/>
  <c r="M54" i="15"/>
  <c r="B8" i="14" s="1"/>
  <c r="D8" i="14" s="1"/>
  <c r="F8" i="14" s="1"/>
  <c r="M73" i="15"/>
  <c r="B27" i="14" s="1"/>
  <c r="D27" i="14" s="1"/>
  <c r="M60" i="15"/>
  <c r="B14" i="14" s="1"/>
  <c r="D14" i="14" s="1"/>
  <c r="F14" i="14" s="1"/>
  <c r="M49" i="15"/>
  <c r="B3" i="14" s="1"/>
  <c r="R61" i="15"/>
  <c r="S61" i="15"/>
  <c r="M44" i="15"/>
  <c r="M28" i="15"/>
  <c r="M12" i="15"/>
  <c r="M56" i="15"/>
  <c r="M74" i="15"/>
  <c r="B28" i="14" s="1"/>
  <c r="D28" i="14" s="1"/>
  <c r="F28" i="14" s="1"/>
  <c r="M48" i="15"/>
  <c r="B2" i="14" s="1"/>
  <c r="D2" i="14" s="1"/>
  <c r="M45" i="15"/>
  <c r="M29" i="15"/>
  <c r="M13" i="15"/>
  <c r="M58" i="15"/>
  <c r="M34" i="15"/>
  <c r="M18" i="15"/>
  <c r="M72" i="15"/>
  <c r="B26" i="14" s="1"/>
  <c r="D26" i="14" s="1"/>
  <c r="F26" i="14" s="1"/>
  <c r="M66" i="15"/>
  <c r="B20" i="14" s="1"/>
  <c r="M75" i="15"/>
  <c r="B29" i="14" s="1"/>
  <c r="D29" i="14" s="1"/>
  <c r="F29" i="14" s="1"/>
  <c r="R53" i="15"/>
  <c r="M39" i="15"/>
  <c r="M23" i="15"/>
  <c r="B52" i="24" l="1"/>
  <c r="M10" i="29"/>
  <c r="N3" i="29" s="1"/>
  <c r="B55" i="25"/>
  <c r="C55" i="25" s="1"/>
  <c r="C52" i="25"/>
  <c r="B53" i="25"/>
  <c r="C53" i="25" s="1"/>
  <c r="B54" i="25"/>
  <c r="C54" i="25" s="1"/>
  <c r="B52" i="26"/>
  <c r="C24" i="31"/>
  <c r="D24" i="31" s="1"/>
  <c r="D28" i="31"/>
  <c r="E12" i="14"/>
  <c r="E31" i="14"/>
  <c r="E42" i="14"/>
  <c r="D17" i="14"/>
  <c r="F17" i="14" s="1"/>
  <c r="E28" i="14"/>
  <c r="E2" i="14"/>
  <c r="E8" i="14"/>
  <c r="E4" i="14"/>
  <c r="E11" i="14"/>
  <c r="E9" i="14"/>
  <c r="E26" i="14"/>
  <c r="E19" i="14"/>
  <c r="D25" i="14"/>
  <c r="F25" i="14" s="1"/>
  <c r="E37" i="14"/>
  <c r="F37" i="14" s="1"/>
  <c r="E17" i="14"/>
  <c r="E27" i="14"/>
  <c r="E33" i="14"/>
  <c r="E15" i="14"/>
  <c r="E36" i="14"/>
  <c r="E44" i="14"/>
  <c r="E10" i="14"/>
  <c r="E43" i="14"/>
  <c r="F33" i="14"/>
  <c r="F5" i="14"/>
  <c r="F24" i="14"/>
  <c r="D7" i="14"/>
  <c r="C22" i="14"/>
  <c r="G22" i="14" s="1"/>
  <c r="E22" i="14" s="1"/>
  <c r="C21" i="14"/>
  <c r="F27" i="14"/>
  <c r="E16" i="14"/>
  <c r="F9" i="14"/>
  <c r="F31" i="14"/>
  <c r="F4" i="14"/>
  <c r="F32" i="14"/>
  <c r="F2" i="14"/>
  <c r="F15" i="14"/>
  <c r="F16" i="14"/>
  <c r="B12" i="14"/>
  <c r="D12" i="14" s="1"/>
  <c r="F12" i="14" s="1"/>
  <c r="B44" i="14"/>
  <c r="D44" i="14" s="1"/>
  <c r="F44" i="14" s="1"/>
  <c r="B13" i="14"/>
  <c r="D13" i="14" s="1"/>
  <c r="B45" i="14"/>
  <c r="D45" i="14" s="1"/>
  <c r="E3" i="14"/>
  <c r="D3" i="14"/>
  <c r="B11" i="14"/>
  <c r="D11" i="14" s="1"/>
  <c r="F11" i="14" s="1"/>
  <c r="B43" i="14"/>
  <c r="D43" i="14" s="1"/>
  <c r="F43" i="14" s="1"/>
  <c r="E7" i="14"/>
  <c r="B10" i="14"/>
  <c r="D10" i="14" s="1"/>
  <c r="F10" i="14" s="1"/>
  <c r="B42" i="14"/>
  <c r="D42" i="14" s="1"/>
  <c r="F42" i="14" s="1"/>
  <c r="D20" i="14"/>
  <c r="E20" i="14"/>
  <c r="E13" i="14"/>
  <c r="E45" i="14"/>
  <c r="J34" i="29" l="1"/>
  <c r="J13" i="29"/>
  <c r="J32" i="29"/>
  <c r="J37" i="29"/>
  <c r="J35" i="29"/>
  <c r="J31" i="29"/>
  <c r="J10" i="29"/>
  <c r="J6" i="29"/>
  <c r="J4" i="29"/>
  <c r="J20" i="29"/>
  <c r="J11" i="29"/>
  <c r="J28" i="29"/>
  <c r="J44" i="29"/>
  <c r="J38" i="29"/>
  <c r="J19" i="29"/>
  <c r="J45" i="29"/>
  <c r="J24" i="29"/>
  <c r="J21" i="29"/>
  <c r="J40" i="29"/>
  <c r="J23" i="29"/>
  <c r="B55" i="24"/>
  <c r="C55" i="24" s="1"/>
  <c r="B54" i="24"/>
  <c r="C54" i="24" s="1"/>
  <c r="B53" i="24"/>
  <c r="C53" i="24" s="1"/>
  <c r="C52" i="24"/>
  <c r="J27" i="29"/>
  <c r="J15" i="29"/>
  <c r="J9" i="29"/>
  <c r="J41" i="29"/>
  <c r="J42" i="29"/>
  <c r="J5" i="29"/>
  <c r="J16" i="29"/>
  <c r="J25" i="29"/>
  <c r="J47" i="29"/>
  <c r="J30" i="29"/>
  <c r="J46" i="29"/>
  <c r="J39" i="29"/>
  <c r="J12" i="29"/>
  <c r="J7" i="29"/>
  <c r="J29" i="29"/>
  <c r="J36" i="29"/>
  <c r="J43" i="29"/>
  <c r="J17" i="29"/>
  <c r="J3" i="29"/>
  <c r="J18" i="29"/>
  <c r="J33" i="29"/>
  <c r="J26" i="29"/>
  <c r="J8" i="29"/>
  <c r="J14" i="29"/>
  <c r="J22" i="29"/>
  <c r="B55" i="26"/>
  <c r="C55" i="26" s="1"/>
  <c r="B54" i="26"/>
  <c r="C54" i="26" s="1"/>
  <c r="B53" i="26"/>
  <c r="C53" i="26" s="1"/>
  <c r="C52" i="26"/>
  <c r="D22" i="14"/>
  <c r="F22" i="14" s="1"/>
  <c r="F13" i="14"/>
  <c r="F7" i="14"/>
  <c r="G21" i="14"/>
  <c r="C39" i="14"/>
  <c r="F20" i="14"/>
  <c r="F3" i="14"/>
  <c r="F45" i="14"/>
  <c r="E21" i="14" l="1"/>
  <c r="E39" i="14" s="1"/>
  <c r="D21" i="14"/>
  <c r="F21" i="14" l="1"/>
  <c r="D39" i="14"/>
  <c r="F39" i="14" l="1"/>
</calcChain>
</file>

<file path=xl/comments1.xml><?xml version="1.0" encoding="utf-8"?>
<comments xmlns="http://schemas.openxmlformats.org/spreadsheetml/2006/main">
  <authors>
    <author>Adam Rosen</author>
  </authors>
  <commentList>
    <comment ref="D22" authorId="0" shapeId="0">
      <text>
        <r>
          <rPr>
            <sz val="8"/>
            <color indexed="81"/>
            <rFont val="Tahoma"/>
            <family val="2"/>
          </rPr>
          <t xml:space="preserve">PASS indicates that the hardware can handle the load (CPU and memory) </t>
        </r>
      </text>
    </comment>
  </commentList>
</comments>
</file>

<file path=xl/comments2.xml><?xml version="1.0" encoding="utf-8"?>
<comments xmlns="http://schemas.openxmlformats.org/spreadsheetml/2006/main">
  <authors>
    <author>Alcatel</author>
    <author>cchoel</author>
  </authors>
  <commentList>
    <comment ref="B6" authorId="0" shapeId="0">
      <text>
        <r>
          <rPr>
            <b/>
            <sz val="8"/>
            <color indexed="81"/>
            <rFont val="Tahoma"/>
            <family val="2"/>
          </rPr>
          <t>For multi-valued extensions, count the average number of extension records per profile. 
E.g. if 100 profiles have 2 multi-valued extensions, 50 profiles have 4, and 20 profiles have 5 multi-valued extensions, add 2.9 for this value (total 170 profiles, total 500 extensions, divide 500 by 170).</t>
        </r>
        <r>
          <rPr>
            <sz val="8"/>
            <color indexed="81"/>
            <rFont val="Tahoma"/>
            <family val="2"/>
          </rPr>
          <t xml:space="preserve">
</t>
        </r>
      </text>
    </comment>
    <comment ref="B7" authorId="1" shapeId="0">
      <text>
        <r>
          <rPr>
            <b/>
            <u/>
            <sz val="8"/>
            <color indexed="81"/>
            <rFont val="Tahoma"/>
            <family val="2"/>
          </rPr>
          <t>Attributes of type:</t>
        </r>
        <r>
          <rPr>
            <sz val="8"/>
            <color indexed="81"/>
            <rFont val="Tahoma"/>
            <family val="2"/>
          </rPr>
          <t xml:space="preserve">
- boolean
- integer
- long
- double
- date
- datetime
- currency</t>
        </r>
      </text>
    </comment>
    <comment ref="B8" authorId="1" shapeId="0">
      <text>
        <r>
          <rPr>
            <b/>
            <sz val="8"/>
            <color indexed="81"/>
            <rFont val="Tahoma"/>
            <family val="2"/>
          </rPr>
          <t>Only attributes of type string</t>
        </r>
        <r>
          <rPr>
            <sz val="8"/>
            <color indexed="81"/>
            <rFont val="Tahoma"/>
            <family val="2"/>
          </rPr>
          <t xml:space="preserve">
</t>
        </r>
      </text>
    </comment>
    <comment ref="B10" authorId="0" shapeId="0">
      <text>
        <r>
          <rPr>
            <b/>
            <u/>
            <sz val="8"/>
            <color indexed="81"/>
            <rFont val="Tahoma"/>
            <family val="2"/>
          </rPr>
          <t>Notes:</t>
        </r>
        <r>
          <rPr>
            <b/>
            <sz val="8"/>
            <color indexed="81"/>
            <rFont val="Tahoma"/>
            <family val="2"/>
          </rPr>
          <t xml:space="preserve"> 
- Do not count identification keys whose source is core profile attributes.
- If an identification key is based on multi-valued extensions, count the number of records per extension. E.g. if there are two Phone multi-valued extension records, then add 2 for this value.
- The calculation assumes that these are all nonunique (nonunique ID keys use more space).</t>
        </r>
      </text>
    </comment>
    <comment ref="B13" authorId="0" shapeId="0">
      <text>
        <r>
          <rPr>
            <b/>
            <sz val="8"/>
            <color indexed="81"/>
            <rFont val="Tahoma"/>
            <family val="2"/>
          </rPr>
          <t>To estimate this average length, estimate the average length of each attribute and divide by the number of string attributes.</t>
        </r>
      </text>
    </comment>
    <comment ref="B15" authorId="0" shapeId="0">
      <text>
        <r>
          <rPr>
            <b/>
            <sz val="8"/>
            <color indexed="81"/>
            <rFont val="Tahoma"/>
            <family val="2"/>
          </rPr>
          <t>The total includes the size of identification keys on core profile attributes.</t>
        </r>
      </text>
    </comment>
    <comment ref="B22" authorId="1" shapeId="0">
      <text>
        <r>
          <rPr>
            <b/>
            <sz val="8"/>
            <color indexed="81"/>
            <rFont val="Tahoma"/>
            <family val="2"/>
          </rPr>
          <t>Number of days to keep Services and linked States or Tasks</t>
        </r>
      </text>
    </comment>
    <comment ref="B26" authorId="1" shapeId="0">
      <text>
        <r>
          <rPr>
            <b/>
            <u/>
            <sz val="8"/>
            <color indexed="81"/>
            <rFont val="Tahoma"/>
            <family val="2"/>
          </rPr>
          <t>Attributes of type:</t>
        </r>
        <r>
          <rPr>
            <sz val="8"/>
            <color indexed="81"/>
            <rFont val="Tahoma"/>
            <family val="2"/>
          </rPr>
          <t xml:space="preserve">
- boolean
- integer
- long
- double
- date
- datetime
- currency</t>
        </r>
      </text>
    </comment>
    <comment ref="B27" authorId="1" shapeId="0">
      <text>
        <r>
          <rPr>
            <b/>
            <sz val="8"/>
            <color indexed="81"/>
            <rFont val="Tahoma"/>
            <family val="2"/>
          </rPr>
          <t>Only attributes of type string</t>
        </r>
        <r>
          <rPr>
            <sz val="8"/>
            <color indexed="81"/>
            <rFont val="Tahoma"/>
            <family val="2"/>
          </rPr>
          <t xml:space="preserve">
</t>
        </r>
      </text>
    </comment>
    <comment ref="B30" authorId="1" shapeId="0">
      <text>
        <r>
          <rPr>
            <b/>
            <u/>
            <sz val="8"/>
            <color indexed="81"/>
            <rFont val="Tahoma"/>
            <family val="2"/>
          </rPr>
          <t>Attributes of type:</t>
        </r>
        <r>
          <rPr>
            <b/>
            <sz val="8"/>
            <color indexed="81"/>
            <rFont val="Tahoma"/>
            <family val="2"/>
          </rPr>
          <t xml:space="preserve">
</t>
        </r>
        <r>
          <rPr>
            <sz val="8"/>
            <color indexed="81"/>
            <rFont val="Tahoma"/>
            <family val="2"/>
          </rPr>
          <t>- boolean
- integer
- long
- double
- date
- datetime
- currency</t>
        </r>
        <r>
          <rPr>
            <sz val="8"/>
            <color indexed="81"/>
            <rFont val="Tahoma"/>
            <family val="2"/>
          </rPr>
          <t xml:space="preserve">
</t>
        </r>
      </text>
    </comment>
    <comment ref="B31" authorId="1" shapeId="0">
      <text>
        <r>
          <rPr>
            <b/>
            <sz val="8"/>
            <color indexed="81"/>
            <rFont val="Tahoma"/>
            <family val="2"/>
          </rPr>
          <t>Only attributes of type string</t>
        </r>
        <r>
          <rPr>
            <sz val="8"/>
            <color indexed="81"/>
            <rFont val="Tahoma"/>
            <family val="2"/>
          </rPr>
          <t xml:space="preserve">
</t>
        </r>
      </text>
    </comment>
    <comment ref="B34" authorId="1" shapeId="0">
      <text>
        <r>
          <rPr>
            <b/>
            <u/>
            <sz val="8"/>
            <color indexed="81"/>
            <rFont val="Tahoma"/>
            <family val="2"/>
          </rPr>
          <t>Attributes of type:</t>
        </r>
        <r>
          <rPr>
            <b/>
            <sz val="8"/>
            <color indexed="81"/>
            <rFont val="Tahoma"/>
            <family val="2"/>
          </rPr>
          <t xml:space="preserve">
</t>
        </r>
        <r>
          <rPr>
            <sz val="8"/>
            <color indexed="81"/>
            <rFont val="Tahoma"/>
            <family val="2"/>
          </rPr>
          <t>- boolean
- integer
- long
- double
- date
- datetime
- currency</t>
        </r>
        <r>
          <rPr>
            <sz val="8"/>
            <color indexed="81"/>
            <rFont val="Tahoma"/>
            <family val="2"/>
          </rPr>
          <t xml:space="preserve">
</t>
        </r>
      </text>
    </comment>
    <comment ref="B35" authorId="1" shapeId="0">
      <text>
        <r>
          <rPr>
            <b/>
            <sz val="8"/>
            <color indexed="81"/>
            <rFont val="Tahoma"/>
            <family val="2"/>
          </rPr>
          <t>Only attributes of type string</t>
        </r>
        <r>
          <rPr>
            <sz val="8"/>
            <color indexed="81"/>
            <rFont val="Tahoma"/>
            <family val="2"/>
          </rPr>
          <t xml:space="preserve">
</t>
        </r>
      </text>
    </comment>
    <comment ref="B49" authorId="1" shapeId="0">
      <text>
        <r>
          <rPr>
            <b/>
            <sz val="8"/>
            <color indexed="81"/>
            <rFont val="Tahoma"/>
            <family val="2"/>
          </rPr>
          <t>Both inbound and outbound e-mails</t>
        </r>
      </text>
    </comment>
    <comment ref="A57" authorId="1" shapeId="0">
      <text>
        <r>
          <rPr>
            <b/>
            <u/>
            <sz val="8"/>
            <color indexed="81"/>
            <rFont val="Tahoma"/>
            <family val="2"/>
          </rPr>
          <t>Run-time DB includes:</t>
        </r>
        <r>
          <rPr>
            <sz val="8"/>
            <color indexed="81"/>
            <rFont val="Tahoma"/>
            <family val="2"/>
          </rPr>
          <t xml:space="preserve">
- transaction logs
- fragmented indexes
- temporary tables
- redo logs
- etc
</t>
        </r>
      </text>
    </comment>
  </commentList>
</comments>
</file>

<file path=xl/sharedStrings.xml><?xml version="1.0" encoding="utf-8"?>
<sst xmlns="http://schemas.openxmlformats.org/spreadsheetml/2006/main" count="1128" uniqueCount="671">
  <si>
    <t>Number</t>
  </si>
  <si>
    <t>Places</t>
  </si>
  <si>
    <t>Skills</t>
  </si>
  <si>
    <t xml:space="preserve">           Configuration Data Objects</t>
  </si>
  <si>
    <t>Hosts</t>
  </si>
  <si>
    <t>Environment</t>
  </si>
  <si>
    <t>Alarm conditions</t>
  </si>
  <si>
    <t>Application Templates</t>
  </si>
  <si>
    <t>Applications</t>
  </si>
  <si>
    <t>Switching Offices</t>
  </si>
  <si>
    <t>Access Groups</t>
  </si>
  <si>
    <t>Persons</t>
  </si>
  <si>
    <t>Agent Groups</t>
  </si>
  <si>
    <t>Place Groups</t>
  </si>
  <si>
    <t>Tenants</t>
  </si>
  <si>
    <t>Services</t>
  </si>
  <si>
    <t>DNs</t>
  </si>
  <si>
    <t>DN Groups</t>
  </si>
  <si>
    <t>Time Zone</t>
  </si>
  <si>
    <t>Agent Logins</t>
  </si>
  <si>
    <t>Folders</t>
  </si>
  <si>
    <t>Scripts</t>
  </si>
  <si>
    <t>Calling Lists</t>
  </si>
  <si>
    <t>Campaigns</t>
  </si>
  <si>
    <t>Treatments</t>
  </si>
  <si>
    <t>Filters</t>
  </si>
  <si>
    <t>Voice Prompts</t>
  </si>
  <si>
    <t>IVRs</t>
  </si>
  <si>
    <t>Campaign Groups</t>
  </si>
  <si>
    <t>GVP Resellers</t>
  </si>
  <si>
    <t>GVP Customers</t>
  </si>
  <si>
    <t>GVP IVR Profiles</t>
  </si>
  <si>
    <t>Transactions</t>
  </si>
  <si>
    <t>Physical Switches</t>
  </si>
  <si>
    <t>CTI</t>
  </si>
  <si>
    <t>Outbound</t>
  </si>
  <si>
    <t>Routing</t>
  </si>
  <si>
    <t>Objective Tables</t>
  </si>
  <si>
    <t>Action Codes</t>
  </si>
  <si>
    <t>GVP</t>
  </si>
  <si>
    <t>Enumerators</t>
  </si>
  <si>
    <t>Enumerators values (Total for all Enumerators)</t>
  </si>
  <si>
    <t>Statistical Days</t>
  </si>
  <si>
    <t>Statistical Tables</t>
  </si>
  <si>
    <t>Table Access</t>
  </si>
  <si>
    <t>Scheduled Tasks</t>
  </si>
  <si>
    <t>Config DB Size (MB)</t>
  </si>
  <si>
    <t xml:space="preserve">                                        </t>
  </si>
  <si>
    <t>Record Length</t>
  </si>
  <si>
    <t>Sybase</t>
  </si>
  <si>
    <t>Database</t>
  </si>
  <si>
    <t>Oracle</t>
  </si>
  <si>
    <t>MS SQLServer</t>
  </si>
  <si>
    <t xml:space="preserve">           Layouts</t>
  </si>
  <si>
    <t>IBM DB2</t>
  </si>
  <si>
    <t>Outbound Contact Layout Templates</t>
  </si>
  <si>
    <t>Statistics</t>
  </si>
  <si>
    <t>CALL_LS</t>
  </si>
  <si>
    <t>CMP</t>
  </si>
  <si>
    <t>CMP_CALL_L</t>
  </si>
  <si>
    <t>CMP_GR</t>
  </si>
  <si>
    <t>GROFPLS</t>
  </si>
  <si>
    <t>GROFQUEUES</t>
  </si>
  <si>
    <t>O_AGENT</t>
  </si>
  <si>
    <t>O_AGENT_GR</t>
  </si>
  <si>
    <t>PLACE</t>
  </si>
  <si>
    <t>QUEUE</t>
  </si>
  <si>
    <t>ROUTEPOINT</t>
  </si>
  <si>
    <t>VCB Layout Templates</t>
  </si>
  <si>
    <t>VCB_GQ_EV</t>
  </si>
  <si>
    <t>VCB_GQUEUE</t>
  </si>
  <si>
    <t>VCB_Q_EV</t>
  </si>
  <si>
    <t>VCB_QUEUE</t>
  </si>
  <si>
    <t>VCB_RP</t>
  </si>
  <si>
    <t>VCB_TENANT</t>
  </si>
  <si>
    <t>Enterprise Routing Layout Templates</t>
  </si>
  <si>
    <t>AGENT</t>
  </si>
  <si>
    <t>GROFAGS</t>
  </si>
  <si>
    <t>GROQUEUES</t>
  </si>
  <si>
    <t>Multimedia Layout Templates</t>
  </si>
  <si>
    <t>ERMS</t>
  </si>
  <si>
    <t>EMAIL_AGENT</t>
  </si>
  <si>
    <t>EMAIL_GAGENT</t>
  </si>
  <si>
    <t>EMAIL_GPLACE</t>
  </si>
  <si>
    <t>EMAIL_IQUEUE</t>
  </si>
  <si>
    <t>EMAIL_PLACE</t>
  </si>
  <si>
    <t>EMAIL_TENANT</t>
  </si>
  <si>
    <t>Web Media</t>
  </si>
  <si>
    <t>CHAT_A</t>
  </si>
  <si>
    <t>CHAT_GA</t>
  </si>
  <si>
    <t>CHAT_GH</t>
  </si>
  <si>
    <t>CHAT_GP</t>
  </si>
  <si>
    <t>CHAT_P</t>
  </si>
  <si>
    <t>Voice</t>
  </si>
  <si>
    <t>VOICE_A</t>
  </si>
  <si>
    <t>VOICE_AG</t>
  </si>
  <si>
    <t>VOICE_GQ</t>
  </si>
  <si>
    <t>VOICE_P</t>
  </si>
  <si>
    <t>VOICE_PG</t>
  </si>
  <si>
    <t>VOICE_Q</t>
  </si>
  <si>
    <t>VOICE_RP</t>
  </si>
  <si>
    <t>VOICE_T</t>
  </si>
  <si>
    <t>Total Requests Number</t>
  </si>
  <si>
    <t>Collection Time Profiles per Day</t>
  </si>
  <si>
    <t>ODS Lifetime (Days)</t>
  </si>
  <si>
    <t>ODS Size (GB)</t>
  </si>
  <si>
    <t>Datamart Lifetime (Days)</t>
  </si>
  <si>
    <t>DataMart Size (GB)</t>
  </si>
  <si>
    <t xml:space="preserve"> </t>
  </si>
  <si>
    <t>Entry</t>
  </si>
  <si>
    <t>Value</t>
  </si>
  <si>
    <t>MS SQL Server</t>
  </si>
  <si>
    <t>Table</t>
  </si>
  <si>
    <t>Row Size</t>
  </si>
  <si>
    <t>Rows Per Day</t>
  </si>
  <si>
    <t>Table Size Per Year</t>
  </si>
  <si>
    <t>Index Size Per Year</t>
  </si>
  <si>
    <t>Total Size Per Year</t>
  </si>
  <si>
    <t>Rows Per Year</t>
  </si>
  <si>
    <t>Comments</t>
  </si>
  <si>
    <t>GS_AGENT_STAT</t>
  </si>
  <si>
    <t>GS_AGENT_STAT_WM</t>
  </si>
  <si>
    <t>GX_SESSION_ENDPOINT</t>
  </si>
  <si>
    <t>G_AGENT_STATE_HISTORY</t>
  </si>
  <si>
    <t>G_AGENT_STATE_RC</t>
  </si>
  <si>
    <t>G_CALL</t>
  </si>
  <si>
    <t>G_CALL_HISTORY</t>
  </si>
  <si>
    <t>G_CALL_STAT</t>
  </si>
  <si>
    <t>G_CALL_USERDATA</t>
  </si>
  <si>
    <t>G_CALL_USERDATA_CUST</t>
  </si>
  <si>
    <t>G_CALL_USERDATA_CUST1</t>
  </si>
  <si>
    <t>R_CALL_USERDATA_CUST3</t>
  </si>
  <si>
    <t>G_DND_HISTORY</t>
  </si>
  <si>
    <t>Assuming that every agent press DND button once per day</t>
  </si>
  <si>
    <t>G_IR</t>
  </si>
  <si>
    <t>G_IR_HISTORY</t>
  </si>
  <si>
    <t>G_IS_LINK</t>
  </si>
  <si>
    <t>G_IS_LINK_HISTORY</t>
  </si>
  <si>
    <t>G_LOGIN_SESSION</t>
  </si>
  <si>
    <t>G_PARTY</t>
  </si>
  <si>
    <t>G_PARTY_HISTORY</t>
  </si>
  <si>
    <t>G_PARTY_STAT</t>
  </si>
  <si>
    <t>G_ROUTE_RESULT</t>
  </si>
  <si>
    <t>G_SECURE_USERDATA_HISTORY</t>
  </si>
  <si>
    <t>The table covered by the G_USEDATA_HISTORY table</t>
  </si>
  <si>
    <t>G_USERDATA_HISTORY</t>
  </si>
  <si>
    <t>G_VIRTUAL_QUEUE</t>
  </si>
  <si>
    <t>GOX_CHAIN_CALL</t>
  </si>
  <si>
    <t>GO_CAMPAIGN</t>
  </si>
  <si>
    <t>GO_CAMPAIGNHISTORY</t>
  </si>
  <si>
    <t>GO_CAMPPROP_HIST</t>
  </si>
  <si>
    <t>GO_CHAIN</t>
  </si>
  <si>
    <t>Assuming that as average only half of a chain's records are processed to reach the target (whatever it means)</t>
  </si>
  <si>
    <t>GO_CHAINREC_HIST</t>
  </si>
  <si>
    <t>Assuming four changes per chain</t>
  </si>
  <si>
    <t>GO_CUSTOM_FIELDS</t>
  </si>
  <si>
    <t>GO_FIELDHIST</t>
  </si>
  <si>
    <t>GO_METRICS</t>
  </si>
  <si>
    <t>GO_RECORD</t>
  </si>
  <si>
    <t>Assuming that there is 1-1 correspondence between GO_RECORD rows and outbound calls (e.g., if an outpound record has been processed twice during the day, there will be two rows in the GO_RECORD table)</t>
  </si>
  <si>
    <t>GO_SECURE_FIELDS</t>
  </si>
  <si>
    <t>Those two tables covered by the G_CUSTOM_FIELDS</t>
  </si>
  <si>
    <t>GO_SEC_FIELDHIST</t>
  </si>
  <si>
    <t>and GO_FIELDHIST tables respectively</t>
  </si>
  <si>
    <t>Total</t>
  </si>
  <si>
    <t>Userdata Table</t>
  </si>
  <si>
    <t>Comment</t>
  </si>
  <si>
    <t>G_CALL_USERDATA_CUST2</t>
  </si>
  <si>
    <t>G_CALL_USERDATA_CUST3</t>
  </si>
  <si>
    <t>Helpers</t>
  </si>
  <si>
    <t>Block Free Size</t>
  </si>
  <si>
    <t>Index Block Free Size</t>
  </si>
  <si>
    <t>Block Size</t>
  </si>
  <si>
    <t>Metrics Snapshots Per Day</t>
  </si>
  <si>
    <t>Data Type</t>
  </si>
  <si>
    <t>bigint</t>
  </si>
  <si>
    <t>int</t>
  </si>
  <si>
    <t>smallint</t>
  </si>
  <si>
    <t>number (16)</t>
  </si>
  <si>
    <t>number (19)</t>
  </si>
  <si>
    <t>number (20)</t>
  </si>
  <si>
    <t>datetime</t>
  </si>
  <si>
    <t>varchar(50)</t>
  </si>
  <si>
    <t>varchar(64)</t>
  </si>
  <si>
    <t>varchar(128)</t>
  </si>
  <si>
    <t>varchar(255)</t>
  </si>
  <si>
    <t>Block Header</t>
  </si>
  <si>
    <t>Row Header</t>
  </si>
  <si>
    <t>Index Block Header</t>
  </si>
  <si>
    <t>Index Row Header</t>
  </si>
  <si>
    <t>Bytes (Current)</t>
  </si>
  <si>
    <t>Bytes (Oracle)</t>
  </si>
  <si>
    <t>Header estimates for Oracle could be outdated (taken from several sources, including Oracle 7 documentation). Hopefully, progress should save memory, don't waste it.</t>
  </si>
  <si>
    <t>Bytes (MSSQL)</t>
  </si>
  <si>
    <t>Bytes (DB2)</t>
  </si>
  <si>
    <t>For DB2 header estimates were just forcibly set to those of Oracle</t>
  </si>
  <si>
    <t>integer</t>
  </si>
  <si>
    <t>number(16)</t>
  </si>
  <si>
    <t>number(19)</t>
  </si>
  <si>
    <t>number(20)</t>
  </si>
  <si>
    <t>IES 1</t>
  </si>
  <si>
    <t>IES 2</t>
  </si>
  <si>
    <t>IES 3</t>
  </si>
  <si>
    <t>IES 4</t>
  </si>
  <si>
    <t>IES 5</t>
  </si>
  <si>
    <t>IES 6</t>
  </si>
  <si>
    <t>IES 7</t>
  </si>
  <si>
    <t>GCX_AGENT_PLACE</t>
  </si>
  <si>
    <t>GCX_CAMPGROUP_INFO</t>
  </si>
  <si>
    <t>GCX_CAMPLIST_INFO</t>
  </si>
  <si>
    <t>GCX_ENDPOINT_PLACE</t>
  </si>
  <si>
    <t>GCX_FORMAT_FIELD</t>
  </si>
  <si>
    <t>GCX_GROUP_AGENT</t>
  </si>
  <si>
    <t>GCX_GROUP_ENDPOINT</t>
  </si>
  <si>
    <t>GCX_GROUP_PLACE</t>
  </si>
  <si>
    <t>GCX_GROUP_ROUTEDN</t>
  </si>
  <si>
    <t>GCX_LIST_TREATMENT</t>
  </si>
  <si>
    <t>GCX_LOGIN_INFO</t>
  </si>
  <si>
    <t>GCX_OBJTABLE_RECORD</t>
  </si>
  <si>
    <t>GCX_SKILL_LEVEL</t>
  </si>
  <si>
    <t>GCX_SUBCODE</t>
  </si>
  <si>
    <t>GC_ACTION_CODE</t>
  </si>
  <si>
    <t>GC_AGENT</t>
  </si>
  <si>
    <t>GC_APPLICATION</t>
  </si>
  <si>
    <t>GC_ATTR_VALUE</t>
  </si>
  <si>
    <t>GC_BUS_ATTRIBUTE</t>
  </si>
  <si>
    <t>GC_CALLING_LIST</t>
  </si>
  <si>
    <t>GC_CAMPAIGN</t>
  </si>
  <si>
    <t>GC_ENDPOINT</t>
  </si>
  <si>
    <t>GC_FIELD</t>
  </si>
  <si>
    <t>GC_FILTER</t>
  </si>
  <si>
    <t>GC_FOLDER</t>
  </si>
  <si>
    <t>GC_FORMAT</t>
  </si>
  <si>
    <t>GC_GROUP</t>
  </si>
  <si>
    <t>GC_IVR</t>
  </si>
  <si>
    <t>GC_IVRPORT</t>
  </si>
  <si>
    <t>GC_LOGIN</t>
  </si>
  <si>
    <t>GC_OBJ_TABLE</t>
  </si>
  <si>
    <t>GC_PLACE</t>
  </si>
  <si>
    <t>GC_SCRIPT</t>
  </si>
  <si>
    <t>GC_SKILL</t>
  </si>
  <si>
    <t>GC_SWITCH</t>
  </si>
  <si>
    <t>GC_TABLE_ACCESS</t>
  </si>
  <si>
    <t>GC_TENANT</t>
  </si>
  <si>
    <t>GC_TIME_ZONE</t>
  </si>
  <si>
    <t>GC_TREATMENT</t>
  </si>
  <si>
    <t>GC_VOICE_PROMPT</t>
  </si>
  <si>
    <t>Email Interactions Per Day</t>
  </si>
  <si>
    <t>Chat Interactions Per Day</t>
  </si>
  <si>
    <t>Attached Data, in Kbytes</t>
  </si>
  <si>
    <t xml:space="preserve"> Recommended limit - 16 Kb</t>
  </si>
  <si>
    <t>Contacts</t>
  </si>
  <si>
    <t>Active Interactions maximum number</t>
  </si>
  <si>
    <t>UCS Database Lifetime (Days)</t>
  </si>
  <si>
    <t>UCS DB Size (MB)</t>
  </si>
  <si>
    <t>Interaction Server DB Size (MB)</t>
  </si>
  <si>
    <t>Number of calling lists (M)</t>
  </si>
  <si>
    <r>
      <t>Coefficient for index space (</t>
    </r>
    <r>
      <rPr>
        <i/>
        <sz val="10"/>
        <rFont val="Arial"/>
        <family val="2"/>
      </rPr>
      <t>si</t>
    </r>
    <r>
      <rPr>
        <sz val="10"/>
        <rFont val="Arial"/>
        <family val="2"/>
      </rPr>
      <t>)</t>
    </r>
  </si>
  <si>
    <t>OCS DB Size (MB)</t>
  </si>
  <si>
    <t xml:space="preserve">Formula: </t>
  </si>
  <si>
    <t>Number of records in the calling list-1</t>
  </si>
  <si>
    <t>Length of record for calling list-1 (Bytes)</t>
  </si>
  <si>
    <t>Number of records in the calling list-2</t>
  </si>
  <si>
    <t>Length of record for calling list-2 (Bytes)</t>
  </si>
  <si>
    <t>Number of records in the calling list-3</t>
  </si>
  <si>
    <t>Length of record for calling list-3 (Bytes)</t>
  </si>
  <si>
    <t>Number of records in the calling list-4</t>
  </si>
  <si>
    <t>Length of record for calling list-4 (Bytes)</t>
  </si>
  <si>
    <t>Number of records in the calling list-5</t>
  </si>
  <si>
    <t>Length of record for calling list-5 (Bytes)</t>
  </si>
  <si>
    <t>Number of records in the calling list-6</t>
  </si>
  <si>
    <t>Length of record for calling list-6 (Bytes)</t>
  </si>
  <si>
    <t>Number of records in the calling list-7</t>
  </si>
  <si>
    <t>Length of record for calling list-7 (Bytes)</t>
  </si>
  <si>
    <t>Number of records in the calling list-8</t>
  </si>
  <si>
    <t>Length of record for calling list-8 (Bytes)</t>
  </si>
  <si>
    <r>
      <t>M</t>
    </r>
    <r>
      <rPr>
        <sz val="10"/>
        <rFont val="Arial"/>
        <family val="2"/>
      </rPr>
      <t xml:space="preserve">  - number of calling lists,
</t>
    </r>
    <r>
      <rPr>
        <i/>
        <sz val="10"/>
        <rFont val="Arial"/>
        <family val="2"/>
      </rPr>
      <t>Ni</t>
    </r>
    <r>
      <rPr>
        <sz val="10"/>
        <rFont val="Arial"/>
        <family val="2"/>
      </rPr>
      <t xml:space="preserve"> – number of records in the calling list i,
</t>
    </r>
    <r>
      <rPr>
        <i/>
        <sz val="10"/>
        <rFont val="Arial"/>
        <family val="2"/>
      </rPr>
      <t>Li</t>
    </r>
    <r>
      <rPr>
        <sz val="10"/>
        <rFont val="Arial"/>
        <family val="2"/>
      </rPr>
      <t xml:space="preserve"> – length of record for calling list i.
</t>
    </r>
    <r>
      <rPr>
        <i/>
        <sz val="10"/>
        <rFont val="Arial"/>
        <family val="2"/>
      </rPr>
      <t>si</t>
    </r>
    <r>
      <rPr>
        <sz val="10"/>
        <rFont val="Arial"/>
        <family val="2"/>
      </rPr>
      <t xml:space="preserve"> – coefficient for index space.
</t>
    </r>
    <r>
      <rPr>
        <b/>
        <sz val="10"/>
        <rFont val="Arial"/>
        <family val="2"/>
      </rPr>
      <t>Example</t>
    </r>
    <r>
      <rPr>
        <sz val="10"/>
        <rFont val="Arial"/>
        <family val="2"/>
      </rPr>
      <t xml:space="preserve">:  OCS uses two calling lists: List 1 contains 100000 records with record size 600 bytes and List 2 contains 50000 records with record size 450 bytes. Indexes occupy one-third of table space. Estimated database size will be: 
1.33 * (100000*600 + 50000*450) / (1024*1024) = </t>
    </r>
    <r>
      <rPr>
        <b/>
        <sz val="10"/>
        <rFont val="Arial"/>
        <family val="2"/>
      </rPr>
      <t>104.6 MB</t>
    </r>
    <r>
      <rPr>
        <sz val="10"/>
        <rFont val="Arial"/>
        <family val="2"/>
      </rPr>
      <t xml:space="preserve">
</t>
    </r>
  </si>
  <si>
    <t>Estimations</t>
  </si>
  <si>
    <t>Use this spreadsheet to estimate the size of the  Configuration Database for your environment. Some examples are provided.                           1.  Change the values for your environment.                                                                                                                                   2. Your estimated database size appears in the last row: Config DB Size (MB)</t>
  </si>
  <si>
    <t>Use this spreadsheet to estimate the size of the  Multimedia Database for your environment. Some examples are provided.                                    1.  Change the values in the number column for your environment.                                                                                                   2. Your estimated database sizes appear in the last rows.</t>
  </si>
  <si>
    <r>
      <t xml:space="preserve">Use this spreadsheet to estimate the size of the Outbound Contact Database for your environment. Some examples are provided.                                                                1.  Change the values for your environment.                                                                                                                                   2. Your estimated database sizes appear in the last rows.
</t>
    </r>
    <r>
      <rPr>
        <b/>
        <i/>
        <u/>
        <sz val="10"/>
        <rFont val="Arial"/>
        <family val="2"/>
      </rPr>
      <t>Note</t>
    </r>
    <r>
      <rPr>
        <b/>
        <i/>
        <sz val="10"/>
        <rFont val="Arial"/>
        <family val="2"/>
      </rPr>
      <t>:  This spread sheet supports up to 8 calling lists.  For more than 8 calling lists, use the following formula for estimated database sizing.</t>
    </r>
  </si>
  <si>
    <t xml:space="preserve"> Select DB from drop-down</t>
  </si>
  <si>
    <t xml:space="preserve">Use this spreadsheet to estimate the size of the ODS and DataMart Database for your environment. 
Some examples are provided.                                                                                                                                                                               1. Select the database from the drop-down menu in the second column.                                                                                          2. Change the values for your environment.                                                                                                                3. Your estimated database sizes appear in the last rows.   </t>
  </si>
  <si>
    <t>MSSQL</t>
  </si>
  <si>
    <t>(nActivities * RecordSize + nAgents * RecordSize) * CONSTANT(9.37)</t>
  </si>
  <si>
    <t>By multiplying the sizes of Activities and Agents tables by this Constant you get the exact size of all the Configuration subsystem. 
The constant is the average value calculated from many Customer databases on MSSQL Server.</t>
  </si>
  <si>
    <t>RecordSize for each subsystem is calculated using customer databases with real data on MSSQL Server 2000.</t>
  </si>
  <si>
    <t>Contact Center Configuration</t>
  </si>
  <si>
    <t>Type of the Database Server:</t>
  </si>
  <si>
    <t>Number of Sites:</t>
  </si>
  <si>
    <t>&lt;--</t>
  </si>
  <si>
    <t>Please enter the estimated number of Sites</t>
  </si>
  <si>
    <t>nSites</t>
  </si>
  <si>
    <t>Number of Activities and Multi-Site Activities:</t>
  </si>
  <si>
    <t>Please enter the estimated number of Activities</t>
  </si>
  <si>
    <t>nActivities</t>
  </si>
  <si>
    <t>Number of Agents:</t>
  </si>
  <si>
    <t>Please enter the estimated number of Agents</t>
  </si>
  <si>
    <t>nAgents</t>
  </si>
  <si>
    <t>Number of Teams:</t>
  </si>
  <si>
    <t>Please enter the estimated number of Teams</t>
  </si>
  <si>
    <t>nTeams</t>
  </si>
  <si>
    <t>Number of Schedule Trades per Agent per Year:</t>
  </si>
  <si>
    <t>Please enter the estimated number of Trading Transactions per Agent per Year</t>
  </si>
  <si>
    <t>nTrading</t>
  </si>
  <si>
    <t>Number of Scenarios per Year for Same Activities:</t>
  </si>
  <si>
    <t>Please enter the estimated number of Scenarios for Same Activities per Year</t>
  </si>
  <si>
    <t>nScenarios</t>
  </si>
  <si>
    <t>Number of Days per Scenario:</t>
  </si>
  <si>
    <t>Please enter the estimated number of Days in each Scenario</t>
  </si>
  <si>
    <t>nDays</t>
  </si>
  <si>
    <t>Number of Factors:</t>
  </si>
  <si>
    <t>Please enter the estimated number of Factors</t>
  </si>
  <si>
    <t>nFactors</t>
  </si>
  <si>
    <t>Number of Events per Factor:</t>
  </si>
  <si>
    <t>Please enter the estimated number of Events per Factor</t>
  </si>
  <si>
    <t>nFactorEvents</t>
  </si>
  <si>
    <t>Number of Forecast Override Templates:</t>
  </si>
  <si>
    <t>Please enter the estimated number of Forecast Override Templates</t>
  </si>
  <si>
    <t>nTemp</t>
  </si>
  <si>
    <t>Number of Days per Override Template:</t>
  </si>
  <si>
    <t>Please enter the estimated number of Days per Override Template</t>
  </si>
  <si>
    <t>nTempDays</t>
  </si>
  <si>
    <t>Number of Forecast non-Override (weekly) Templates:</t>
  </si>
  <si>
    <t>Please enter the estimated number of non-Override Templates</t>
  </si>
  <si>
    <t>nTempWeekly</t>
  </si>
  <si>
    <t>Number of Calendar Items changes per Day:</t>
  </si>
  <si>
    <t>Please enter the estimated number of Calendar changes per Day</t>
  </si>
  <si>
    <t>nCalChanges</t>
  </si>
  <si>
    <t>Number of changed Calendar Items per transaction:</t>
  </si>
  <si>
    <t>Please enter the estimated number of changed Calendar Items per each change</t>
  </si>
  <si>
    <t>nCalItems</t>
  </si>
  <si>
    <t>Number of Calendar Items per Agent per Year:</t>
  </si>
  <si>
    <t>Please enter the estimated number of Calendar Items per Agent per Year</t>
  </si>
  <si>
    <t>nCalendar</t>
  </si>
  <si>
    <t xml:space="preserve">(count Vacations, Sick Days, Exceptions, Day Offs, etc.) </t>
  </si>
  <si>
    <t>Number of manual schedule changes per Agent per Year:</t>
  </si>
  <si>
    <t>Please enter the estimated number of schedule changes for one Agent per Year</t>
  </si>
  <si>
    <t>nSchChanges</t>
  </si>
  <si>
    <t>Polling Timer:</t>
  </si>
  <si>
    <t>Please enter the number of times WFM Daemon will ask WFM Server for updates per Year.</t>
  </si>
  <si>
    <t>nPollingTimer</t>
  </si>
  <si>
    <t>Default setting is 1 minute = 365 * 24 * 60. Enter 0 if you will not use WFM Daemon.</t>
  </si>
  <si>
    <t>Audit type:</t>
  </si>
  <si>
    <t>Low</t>
  </si>
  <si>
    <t>Please select between Low and High Audit Level. Possible values are: Low or High.</t>
  </si>
  <si>
    <t>nAuditLevel</t>
  </si>
  <si>
    <t>Formulas used in calculations</t>
  </si>
  <si>
    <t>Bytes</t>
  </si>
  <si>
    <t>GB</t>
  </si>
  <si>
    <t>Brief Explanations</t>
  </si>
  <si>
    <t>Configuration:</t>
  </si>
  <si>
    <t>(nActivities * RecordSize + nAgents * RecordSize) * CONSTANT(17.70)</t>
  </si>
  <si>
    <t>By multiplying the sizes of Activities and Agents tables by this Constant you get the exact size of all the Configuration subsystem. 
The constant is the average value calculated from many Customer databases on Oracle Server.</t>
  </si>
  <si>
    <t>Agent Real Time:</t>
  </si>
  <si>
    <t>365 days * nAgents * RecordSize</t>
  </si>
  <si>
    <t>Trading:</t>
  </si>
  <si>
    <t>nAgents * (nTrading * RecordSize1 + nTrading * 2 * RecordSize2 + nTrading * 2 * RecordSize3)</t>
  </si>
  <si>
    <t>Calendar:</t>
  </si>
  <si>
    <t>nAgents * nCalendar * RecordSize</t>
  </si>
  <si>
    <t>Performance Act:</t>
  </si>
  <si>
    <t>365 days * 96 timesteps * nActivities * RecordSize</t>
  </si>
  <si>
    <t>Performance Team:</t>
  </si>
  <si>
    <t>365 days * 96 timesteps * nTeams * RecordSize</t>
  </si>
  <si>
    <t>Performance Alerts:</t>
  </si>
  <si>
    <t>CONSTANT (Average number of Alerts per Year = 10) * RecordSize</t>
  </si>
  <si>
    <t>Schedule Master:</t>
  </si>
  <si>
    <t>nAgents * 365 * RecordSize</t>
  </si>
  <si>
    <t>Schedule Scenario:</t>
  </si>
  <si>
    <t>Baseline Schedule:</t>
  </si>
  <si>
    <t>nAgents * 365 * 10% * RecordSize</t>
  </si>
  <si>
    <t>Calendar Audit:</t>
  </si>
  <si>
    <t>365 days * nCalChanges * nCalItems * RecordSize</t>
  </si>
  <si>
    <t>Trade Audit:</t>
  </si>
  <si>
    <t>nAgents * RecordSize * (nTrading + nTrading * 2 + nTrading * 2 ) * 2</t>
  </si>
  <si>
    <t>Schedule audit:</t>
  </si>
  <si>
    <t>nAgents*nSchChanges*RecordSize1 + nAgents*365*RecordSize2</t>
  </si>
  <si>
    <t>Trading acknowledgements:</t>
  </si>
  <si>
    <t>nPollingTimer * nSites * RecordSize</t>
  </si>
  <si>
    <t>Schedule acknowledgements:</t>
  </si>
  <si>
    <t>Calendar acknowledgements:</t>
  </si>
  <si>
    <t>Forecast:</t>
  </si>
  <si>
    <t>nScenarios * 2 * nDays * nActivities * RecordSize</t>
  </si>
  <si>
    <t>Forecast Events:</t>
  </si>
  <si>
    <t>nFactors * nFactorEvents * 2 * RecordSize</t>
  </si>
  <si>
    <t>Forecast Override Templates:</t>
  </si>
  <si>
    <t>nTemp * 96 * nTempDays * RecordSize</t>
  </si>
  <si>
    <t>Forecast Weekly Templates:</t>
  </si>
  <si>
    <t>nTempWeekly * 96 * 7 * RecordSize</t>
  </si>
  <si>
    <t>Forecast Params:</t>
  </si>
  <si>
    <t>nActivities * nScenarios * RecordSize</t>
  </si>
  <si>
    <t>Annual WFM Database size</t>
  </si>
  <si>
    <t>DB Size Year 1:</t>
  </si>
  <si>
    <t>DB Size Year 2:</t>
  </si>
  <si>
    <t>DB Size Year 3:</t>
  </si>
  <si>
    <t>DB Size Year 4:</t>
  </si>
  <si>
    <t>Notes:</t>
  </si>
  <si>
    <t>RecordSize for each subsystem is calculated using customer databases with real data on Oracle 10g.</t>
  </si>
  <si>
    <t>DB2</t>
  </si>
  <si>
    <t>By multiplying the sizes of Activities and Agents tables by this Constant you get the exact size of all the Configuration subsystem. 
The constant is the average value calculated from many Customer databases on DB2 Server.</t>
  </si>
  <si>
    <t>RecordSize for each subsystem is calculated using customer databases with real data on DB2 Server 8.2.</t>
  </si>
  <si>
    <t>IVR Ports</t>
  </si>
  <si>
    <t>Performance Act/Team:</t>
  </si>
  <si>
    <t>Configuration Database 8.0</t>
  </si>
  <si>
    <t>Multimedia 8.0</t>
  </si>
  <si>
    <t>Outbound Contact 8.0</t>
  </si>
  <si>
    <t>ODS and DataMart 8.0</t>
  </si>
  <si>
    <t>Workforce Management 8.0 with Oracle</t>
  </si>
  <si>
    <t>Workforce Management 8.0 with Microsoft SQL Server</t>
  </si>
  <si>
    <t>Workforce Management 8.0 with DB2</t>
  </si>
  <si>
    <r>
      <rPr>
        <b/>
        <sz val="10"/>
        <rFont val="Arial"/>
        <family val="2"/>
      </rPr>
      <t>Technical Support from VARs:</t>
    </r>
    <r>
      <rPr>
        <sz val="10"/>
        <rFont val="Arial"/>
        <family val="2"/>
      </rPr>
      <t xml:space="preserve"> If you have purchased support from a value-added reseller (VAR), please contact the VAR for technical support.</t>
    </r>
  </si>
  <si>
    <t>Required Estimates</t>
  </si>
  <si>
    <t>Description</t>
  </si>
  <si>
    <t>Component</t>
  </si>
  <si>
    <t>Percent of Total</t>
  </si>
  <si>
    <t>Required Disk Usage (MB)</t>
  </si>
  <si>
    <t>Sum per Datatype per Component (GB)</t>
  </si>
  <si>
    <t>Sum per Component (GB)</t>
  </si>
  <si>
    <t>Sum (GB) + Overhead</t>
  </si>
  <si>
    <t># of DN</t>
  </si>
  <si>
    <t>Resource Manager</t>
  </si>
  <si>
    <t>CDR</t>
  </si>
  <si>
    <t># of IVR Profiles</t>
  </si>
  <si>
    <t>Operational Reporting</t>
  </si>
  <si>
    <t>OR (5 minutes)</t>
  </si>
  <si>
    <t># of Tenants</t>
  </si>
  <si>
    <t>Include number of Sub-Tenants</t>
  </si>
  <si>
    <t>OR (30 minutes)</t>
  </si>
  <si>
    <t># of RM</t>
  </si>
  <si>
    <r>
      <t xml:space="preserve">Number of </t>
    </r>
    <r>
      <rPr>
        <b/>
        <sz val="11"/>
        <color indexed="8"/>
        <rFont val="Calibri"/>
        <family val="2"/>
      </rPr>
      <t>ALL</t>
    </r>
    <r>
      <rPr>
        <sz val="10"/>
        <rFont val="Arial"/>
        <family val="2"/>
      </rPr>
      <t xml:space="preserve"> ResourceManager applications. HA-pairs count as 2</t>
    </r>
  </si>
  <si>
    <t>OR (hourly)</t>
  </si>
  <si>
    <t># of MCPs</t>
  </si>
  <si>
    <t>Number of Media Control Platform Applications</t>
  </si>
  <si>
    <t>OR (daily)</t>
  </si>
  <si>
    <t># of CCPs</t>
  </si>
  <si>
    <t>Number of Call Control Platform Applications</t>
  </si>
  <si>
    <t>OR (weekly)</t>
  </si>
  <si>
    <t># of CTIC</t>
  </si>
  <si>
    <t>Number of CTI Connectors</t>
  </si>
  <si>
    <t>OR (monthly)</t>
  </si>
  <si>
    <t># of PSTNC</t>
  </si>
  <si>
    <t>Number of PSTN Connectors</t>
  </si>
  <si>
    <t>Media Control Platform</t>
  </si>
  <si>
    <t># of ASR and TTS components</t>
  </si>
  <si>
    <t>Number of ASR components plus the number of TTS components configured in the deployment</t>
  </si>
  <si>
    <t># of Calls per Day (RM)</t>
  </si>
  <si>
    <t>Average tenant hierarchy length (RM)</t>
  </si>
  <si>
    <t>The average number of tenants in the tenant hierarchy for RM sessions</t>
  </si>
  <si>
    <t># of Calls per Day (MCP)</t>
  </si>
  <si>
    <t>Average tenant hierarchy length (MCP)</t>
  </si>
  <si>
    <t>The average number of tenants in the tenant hierarchy for MCP sessions</t>
  </si>
  <si>
    <t># of Events per call (MCP)</t>
  </si>
  <si>
    <t>Depends on VXML application call flow and needs to be reviewed after application is implemented</t>
  </si>
  <si>
    <t># of Custom VARs per call</t>
  </si>
  <si>
    <t>Depends on the application implementation. This refers to the number of variables logged in a single call flow by 
&lt;log label="com.genesyslab.var.CustomVar"&gt;name|value&lt;/log&gt;</t>
  </si>
  <si>
    <t>Events</t>
  </si>
  <si>
    <t># of IVR Actions</t>
  </si>
  <si>
    <t>refers to the number of unique “actionID” logged in your application, by the log tag 
&lt;log label="com.genesyslab.var.ActionStart"&gt;actionID[|parentID=&lt;PID&gt;]&lt;/log&gt;</t>
  </si>
  <si>
    <t>VAR</t>
  </si>
  <si>
    <t># of Unique Call End Reasons</t>
  </si>
  <si>
    <t xml:space="preserve">refers to the number of unique “Call End Reasons” logged in your application, by the log tag 
&lt;log label="com.genesyslab.var.CallResult"&gt;result[|reason]&lt;/log&gt;. </t>
  </si>
  <si>
    <t>VAR (5 minutes)</t>
  </si>
  <si>
    <t>Failure %</t>
  </si>
  <si>
    <t xml:space="preserve">This is an estimate of the number of calls that will fail the service quality measurement. </t>
  </si>
  <si>
    <t>VAR (30 minutes)</t>
  </si>
  <si>
    <t>SQA stat update period</t>
  </si>
  <si>
    <t>The SQA stat update period (see the [sqa]stat.update.interval option in the RS configuration) in seconds.</t>
  </si>
  <si>
    <t>VAR (hourly)</t>
  </si>
  <si>
    <t>SQA service quality period</t>
  </si>
  <si>
    <t>The Service Quality Period (see the [sqa]service.quality.period option in the RS configuration) in seconds.</t>
  </si>
  <si>
    <t>VAR (daily)</t>
  </si>
  <si>
    <t># of Calls per Day (CCP)</t>
  </si>
  <si>
    <t>VAR (weekly)</t>
  </si>
  <si>
    <t>Average tenant hierarchy length (CCP)</t>
  </si>
  <si>
    <t>The average number of tenants in the tenant hierarchy for CCP sessions</t>
  </si>
  <si>
    <t>VAR (monthly)</t>
  </si>
  <si>
    <t># of Events per call (CCP)</t>
  </si>
  <si>
    <t>Depends on CCXML application call flow and needs to be reviewed after application is implemented</t>
  </si>
  <si>
    <t>SQA Latency</t>
  </si>
  <si>
    <t>hourly</t>
  </si>
  <si>
    <t>daily</t>
  </si>
  <si>
    <t>weekly</t>
  </si>
  <si>
    <t>monthly</t>
  </si>
  <si>
    <t>Related Retention Period</t>
  </si>
  <si>
    <t>Option in CME</t>
  </si>
  <si>
    <t>SQA Failure</t>
  </si>
  <si>
    <t>Details</t>
  </si>
  <si>
    <t>rs.db.retention.cdr.default</t>
  </si>
  <si>
    <t>rs.db.retention.operations.5min.default</t>
  </si>
  <si>
    <t>rs.db.retention.latencies.weekly.default</t>
  </si>
  <si>
    <t>rs.db.retention.operations.hourly.default</t>
  </si>
  <si>
    <t>rs.db.retention.operations.daily.default</t>
  </si>
  <si>
    <t>CCP</t>
  </si>
  <si>
    <t>rs.db.retention.operations.weekly.default</t>
  </si>
  <si>
    <t>rs.db.retention.operations.monthly.default</t>
  </si>
  <si>
    <t>rs.db.retention.var.5min.default</t>
  </si>
  <si>
    <t>rs.db.retention.var.30min.default</t>
  </si>
  <si>
    <t>rs.db.retention.var.hourly.default</t>
  </si>
  <si>
    <t>rs.db.retention.var.daily.default</t>
  </si>
  <si>
    <t>rs.db.retention.var.monthly.default</t>
  </si>
  <si>
    <t>TTS/ASR</t>
  </si>
  <si>
    <t>rs.db.retention.events.default</t>
  </si>
  <si>
    <t>rs.db.retention.latencies.hourly.default</t>
  </si>
  <si>
    <t>rs.db.retention.latencies.daily.default</t>
  </si>
  <si>
    <t>rs.db.retention.latencies.monthly.default</t>
  </si>
  <si>
    <t>rs.db.retention.sq.failures.default</t>
  </si>
  <si>
    <t>For Oracle 11g - Partitioning Mode - RS 814 - Only RS' Tablespace Size Estimation - Oracle System / log files not included.</t>
  </si>
  <si>
    <t>rs.db.retention.sq.hourly.default</t>
  </si>
  <si>
    <t>rs.db.retention.sq.daily.default</t>
  </si>
  <si>
    <t>rs.db.retention.sq.weekly.default</t>
  </si>
  <si>
    <t>rs.db.retention.sq.monthly.default</t>
  </si>
  <si>
    <t>Universal Contact Server / Context Services 8.1</t>
  </si>
  <si>
    <t>Profile entries</t>
  </si>
  <si>
    <t>Number of Profiles</t>
  </si>
  <si>
    <t>Number of defined Core Attributes</t>
  </si>
  <si>
    <t>Number of defined Extensions</t>
  </si>
  <si>
    <t>Number of fixed attributes in Extensions</t>
  </si>
  <si>
    <t>Number of string attributes in Extensions</t>
  </si>
  <si>
    <t>Average length of each string in Extensions</t>
  </si>
  <si>
    <t>Number of defined identification keys</t>
  </si>
  <si>
    <t>Number of fixed attributes in identification keys</t>
  </si>
  <si>
    <t>Number of string attributes in identification keys</t>
  </si>
  <si>
    <t>Average length of each string in identification keys</t>
  </si>
  <si>
    <t>Profiles Core Size (MB)</t>
  </si>
  <si>
    <t>Profiles Extensions Size (MB)</t>
  </si>
  <si>
    <t>Profile Identification Keys Size (MB)</t>
  </si>
  <si>
    <t>Total Profiles Size (MB)</t>
  </si>
  <si>
    <t>Service model entries (Context Services)</t>
  </si>
  <si>
    <t>Number of Services per Day</t>
  </si>
  <si>
    <t>Services lifetime (days)</t>
  </si>
  <si>
    <t>Number of States per Service</t>
  </si>
  <si>
    <t>Number of Tasks per Service</t>
  </si>
  <si>
    <t>Number of defined Service extensions</t>
  </si>
  <si>
    <t>Number of fixed attributes in Service Extensions</t>
  </si>
  <si>
    <t>Number of string attributes in Service Extensions</t>
  </si>
  <si>
    <t>Average length of each string in Service Extensions</t>
  </si>
  <si>
    <t>Number of defined State extensions</t>
  </si>
  <si>
    <t>Number of fixed attributes in State extensions</t>
  </si>
  <si>
    <t>Number of string attributes in State extensions</t>
  </si>
  <si>
    <t>Average length of each string in State extensions</t>
  </si>
  <si>
    <t>Number of defined Task extensions</t>
  </si>
  <si>
    <t>Number of fixed attributes in Task Extensions</t>
  </si>
  <si>
    <t>Number of string attributes in Task Extensions</t>
  </si>
  <si>
    <t>Average length of each string in Task Extensions</t>
  </si>
  <si>
    <t>Service only size (MB)</t>
  </si>
  <si>
    <t>State only size (MB)</t>
  </si>
  <si>
    <t>Task only size (MB)</t>
  </si>
  <si>
    <t>Total CS Size (MB)</t>
  </si>
  <si>
    <t>Interaction model entries</t>
  </si>
  <si>
    <t>Average e-mail size (KB)</t>
  </si>
  <si>
    <t>Average attachment size (KB)</t>
  </si>
  <si>
    <t>Percentage of e-mails with attachments</t>
  </si>
  <si>
    <t>Average Auto-reply size (KB)</t>
  </si>
  <si>
    <t>Number of Contacts</t>
  </si>
  <si>
    <t>E-mail interactions per day</t>
  </si>
  <si>
    <t>Chat interactions per day</t>
  </si>
  <si>
    <t>UCS database lifetime (days)</t>
  </si>
  <si>
    <t>Total UCS DB Size (MB)</t>
  </si>
  <si>
    <t>Total UCS/CS DB Size (MB)</t>
  </si>
  <si>
    <t>Run-time DB Size required (MB)</t>
  </si>
  <si>
    <t>Use this spreadsheet to estimate the size of the  Universal Contact Server database for your environment. Some examples are provided. Scroll over red marks for information.                                            1.  Change the values in the Number column to match your environment.                                                                                                   2. Estimated database sizes appear in the last rows.</t>
  </si>
  <si>
    <t>iWD 8.0 with MS SQL Server</t>
  </si>
  <si>
    <t>System Profile</t>
  </si>
  <si>
    <t>H/W Configuration</t>
  </si>
  <si>
    <t>Task expiration period (days)</t>
  </si>
  <si>
    <t>CPU clock (GHz)</t>
  </si>
  <si>
    <t>iWD Data Mart DB retention period (days)</t>
  </si>
  <si>
    <t>CPU core number</t>
  </si>
  <si>
    <t>Incoming task rate (per day)</t>
  </si>
  <si>
    <t>Memory (MB)</t>
  </si>
  <si>
    <t>Average re-prioritization period (hours)</t>
  </si>
  <si>
    <t>Maximum incoming task rate (per second)</t>
  </si>
  <si>
    <t>Average number of tasks in backlog</t>
  </si>
  <si>
    <t>Number of agents</t>
  </si>
  <si>
    <t>Attached data size (KB) ( &gt; 1 )</t>
  </si>
  <si>
    <t>Estimated Effective Task Rate (tasks/sec)</t>
  </si>
  <si>
    <t>Databse Configuration</t>
  </si>
  <si>
    <t>Database File Size (GB)</t>
  </si>
  <si>
    <t>Database Name</t>
  </si>
  <si>
    <t xml:space="preserve">MS SQL </t>
  </si>
  <si>
    <t>Interaction Server database</t>
  </si>
  <si>
    <t>Interaction Server Event Log database</t>
  </si>
  <si>
    <t>iWD Data Mart database</t>
  </si>
  <si>
    <t>H/W checks: all must be PASS</t>
  </si>
  <si>
    <t>Application</t>
  </si>
  <si>
    <t>CPU Usage %</t>
  </si>
  <si>
    <t>Maximum CPU Usage %</t>
  </si>
  <si>
    <t>CPU Check</t>
  </si>
  <si>
    <t>Memory Check</t>
  </si>
  <si>
    <t>Interaction Server</t>
  </si>
  <si>
    <t>iWD Runtime Node</t>
  </si>
  <si>
    <t>iWD DataMart Node MAX</t>
  </si>
  <si>
    <t xml:space="preserve">Universal Routing Server </t>
  </si>
  <si>
    <t>Stat Server</t>
  </si>
  <si>
    <t>database_name</t>
  </si>
  <si>
    <t>databse_file_size KB</t>
  </si>
  <si>
    <t>KB per task</t>
  </si>
  <si>
    <t>ixn_db</t>
  </si>
  <si>
    <t>ixn_eventlog_db</t>
  </si>
  <si>
    <t>iwddatamart_2</t>
  </si>
  <si>
    <t>System test metrics</t>
  </si>
  <si>
    <t>Total tasks processed</t>
  </si>
  <si>
    <t>Tasks Number in queues</t>
  </si>
  <si>
    <t>Attached Data Size (KB)</t>
  </si>
  <si>
    <t>Host CPU GHz</t>
  </si>
  <si>
    <t>CPU0</t>
  </si>
  <si>
    <t>K1</t>
  </si>
  <si>
    <t>K2</t>
  </si>
  <si>
    <t>K3</t>
  </si>
  <si>
    <t>Interaction server</t>
  </si>
  <si>
    <t>iWD running node</t>
  </si>
  <si>
    <t>iWD DataMart node MAX</t>
  </si>
  <si>
    <t>SQL server</t>
  </si>
  <si>
    <t xml:space="preserve">URS </t>
  </si>
  <si>
    <r>
      <t xml:space="preserve">Technical Support from VARs
</t>
    </r>
    <r>
      <rPr>
        <sz val="10"/>
        <rFont val="Arial"/>
        <family val="2"/>
      </rPr>
      <t>If you have purchased support from a value-added reseller (VAR), please contact the VAR for technical support.</t>
    </r>
  </si>
  <si>
    <t>Customer Care Contact Information</t>
  </si>
  <si>
    <r>
      <t>Notice:</t>
    </r>
    <r>
      <rPr>
        <sz val="10"/>
        <rFont val="Arial"/>
        <family val="2"/>
      </rPr>
      <t xml:space="preserve"> Although reasonable effort is made to ensure that the information in this document is complete and accurate at the time of release, Genesys  Telecommunications Laboratories, Inc., cannot assume responsibility for any existing errors. Changes and/or corrections to the information contained in this document may be incorporated in future versions.
</t>
    </r>
    <r>
      <rPr>
        <b/>
        <sz val="10"/>
        <rFont val="Arial"/>
        <family val="2"/>
      </rPr>
      <t>Your Responsibility for Your System’s Security:</t>
    </r>
    <r>
      <rPr>
        <sz val="10"/>
        <rFont val="Arial"/>
        <family val="2"/>
      </rPr>
      <t xml:space="preserve"> You are responsible for the security of your system. Product administration to prevent unauthorized use is your responsibility. Your system administrator should read all documents provided with this product to fully understand the features available that reduce your risk of incurring charges for unlicensed use of Genesys products.</t>
    </r>
  </si>
  <si>
    <r>
      <rPr>
        <b/>
        <sz val="10"/>
        <rFont val="Arial"/>
        <family val="2"/>
      </rPr>
      <t xml:space="preserve">Trademarks: </t>
    </r>
    <r>
      <rPr>
        <sz val="10"/>
        <rFont val="Arial"/>
        <family val="2"/>
      </rPr>
      <t>Genesys and the Genesys logo are registered trademarks of Genesys Telecommunications Laboratories, Inc. All other company names and logos may be trademarks or registered trademarks of their respective holders. The Crystal monospace font is used by permission of Software Renovation Corporation, www.SoftwareRenovation.com.</t>
    </r>
  </si>
  <si>
    <r>
      <rPr>
        <b/>
        <sz val="10"/>
        <rFont val="Arial"/>
        <family val="2"/>
      </rPr>
      <t>Ordering and Licensing Information:</t>
    </r>
    <r>
      <rPr>
        <sz val="10"/>
        <rFont val="Arial"/>
        <family val="2"/>
      </rPr>
      <t xml:space="preserve"> Complete information on ordering and licensing Genesys products can be found in the Genesys Licensing Guide.</t>
    </r>
  </si>
  <si>
    <t xml:space="preserve">License Reporting Manager:   LRM Sizing Recommendations </t>
  </si>
  <si>
    <t xml:space="preserve">LRM does not require complex sizing calculations.  The table below from the Hardware Sizing Guide is included here for spreadsheet user convenience.  </t>
  </si>
  <si>
    <t>Medium Contact Centre</t>
  </si>
  <si>
    <t>Large Contact Centre</t>
  </si>
  <si>
    <t>Total agents</t>
  </si>
  <si>
    <t>Total shifts</t>
  </si>
  <si>
    <t xml:space="preserve">Agents/shift </t>
  </si>
  <si>
    <t>Logins/day</t>
  </si>
  <si>
    <t>Products</t>
  </si>
  <si>
    <t>CIM</t>
  </si>
  <si>
    <t>Minimum recommended free disk space for LRM DB</t>
  </si>
  <si>
    <t>10GB</t>
  </si>
  <si>
    <t>20GB</t>
  </si>
  <si>
    <t>Disk space recommended for LRM DB to keep &gt;13 months of reporting data</t>
  </si>
  <si>
    <t>Approximately 20 GB, depending upon number of tenants, agents, places, tenants, sellable items, bundles</t>
  </si>
  <si>
    <t>Approximately 40 GB, depending upon number of tenants, agents, places, tenants, sellable items, bundles</t>
  </si>
  <si>
    <t>Minimum recommended CPU 1 Intel CPU 2.6 GHz</t>
  </si>
  <si>
    <t xml:space="preserve"> 1 Intel CPU 2.6 GHz core 2 duo</t>
  </si>
  <si>
    <t xml:space="preserve"> 2 Intel CPU 2.6 GHz core 2 duo</t>
  </si>
  <si>
    <t xml:space="preserve">Minimum recommended Memory </t>
  </si>
  <si>
    <t>4GB</t>
  </si>
  <si>
    <t>8GB *</t>
  </si>
  <si>
    <t xml:space="preserve">Dedicated server requirement </t>
  </si>
  <si>
    <t>No</t>
  </si>
  <si>
    <t>Yes</t>
  </si>
  <si>
    <t xml:space="preserve">VM info/recommendations </t>
  </si>
  <si>
    <t>VMs are acceptable if they have similar CPU, memory, and disk resources</t>
  </si>
  <si>
    <t xml:space="preserve">For a large contact center, if the system has more than 50,000 agents, LRM requires additional Java Heap space to load the agent information from the Configuration Server.   See the License Reporting Manager 8.1 Deployment Guide for details.
</t>
  </si>
  <si>
    <t>*  If the number of agents exceeds 100,000 agents, Genesys recommends that LRM is deployed on
a host or Virtual Machine with a minimum of 8 GB RAM.</t>
  </si>
  <si>
    <t>Genesys Info Mart Database Size Estimator</t>
  </si>
  <si>
    <t>Interaction Concentrator Database Size Estimator</t>
  </si>
  <si>
    <t>ICON 8.1 Database Size Estimator</t>
  </si>
  <si>
    <r>
      <rPr>
        <b/>
        <sz val="10"/>
        <rFont val="Arial"/>
        <family val="2"/>
      </rPr>
      <t>Note:</t>
    </r>
    <r>
      <rPr>
        <sz val="10"/>
        <rFont val="Arial"/>
        <family val="2"/>
      </rPr>
      <t xml:space="preserve"> The estimator can also be accessed from the Genesys Info Mart documentation landing page using the link provided below.</t>
    </r>
  </si>
  <si>
    <t>This Database Size Estimator requires a separate spreadsheet. Download the spreadsheet using the link provided below.</t>
  </si>
  <si>
    <r>
      <rPr>
        <b/>
        <sz val="10"/>
        <rFont val="Arial"/>
        <family val="2"/>
      </rPr>
      <t>Note:</t>
    </r>
    <r>
      <rPr>
        <sz val="10"/>
        <rFont val="Arial"/>
      </rPr>
      <t xml:space="preserve"> The estimator can also be accessed from the Interaction Concentrator documentation landing page using the link provided below.</t>
    </r>
  </si>
  <si>
    <t>GIM 8.1 Database Size Estimator</t>
  </si>
  <si>
    <t>Genesys Knowledge Center Sizing Estimator</t>
  </si>
  <si>
    <r>
      <rPr>
        <b/>
        <sz val="10"/>
        <rFont val="Arial"/>
        <family val="2"/>
      </rPr>
      <t>Note:</t>
    </r>
    <r>
      <rPr>
        <sz val="10"/>
        <rFont val="Arial"/>
        <family val="2"/>
      </rPr>
      <t xml:space="preserve"> The estimator can also be accessed from the Genesys Knowleddge Center documentation landing page using the link provided below.</t>
    </r>
  </si>
  <si>
    <t>Genesys Knowledge Center Sizing Workbook</t>
  </si>
  <si>
    <t>https://docs.genesys.com/Documentation/KC</t>
  </si>
  <si>
    <t>https://docs.genesys.com/Documentation/GIM</t>
  </si>
  <si>
    <t>https://docs.genesys.com/Documentation/ICON</t>
  </si>
  <si>
    <t>Genesys Database Sizing Estimator Worksheets</t>
  </si>
  <si>
    <r>
      <rPr>
        <b/>
        <sz val="10"/>
        <rFont val="Arial"/>
        <family val="2"/>
      </rPr>
      <t>Note:</t>
    </r>
    <r>
      <rPr>
        <sz val="10"/>
        <rFont val="Arial"/>
        <family val="2"/>
      </rPr>
      <t xml:space="preserve"> This Database Size Estimator provides a range of expected database sizes for various Genesys products for 8.x onward. Click the tabs at the bottom to access a product. </t>
    </r>
  </si>
  <si>
    <t>The information contained herein is proprietary and confidential and cannot be disclosed or duplicated without the prior written consent of Genesys Telecommunications Laboratories, Inc. Copyright © 2000–2018 Genesys Telecommunications Laboratories, Inc. All rights reserved.</t>
  </si>
  <si>
    <r>
      <rPr>
        <b/>
        <sz val="10"/>
        <rFont val="Arial"/>
        <family val="2"/>
      </rPr>
      <t>About Genesys:</t>
    </r>
    <r>
      <rPr>
        <sz val="10"/>
        <rFont val="Arial"/>
        <family val="2"/>
      </rPr>
      <t xml:space="preserve">  Genesys powers 25 billion of the world’s best customer experiences each year. Our success comes from connecting employee and customer conversations on any channel, every day. Over 10,000 companies in 100+ countries trust our #1 customer experience platform to drive great business outcomes and create lasting relationships. Combining the best of technology and human ingenuity, we build solutions that mirror natural communication and work the way you think. Our industry-leading solutions foster true omnichannel engagement, performing equally well across all channels, on-premise and in the cloud. Experience communication as it should be: fluid, instinctive and profoundly empowering.</t>
    </r>
  </si>
  <si>
    <t>Universal Contact Server Sizing Calculator</t>
  </si>
  <si>
    <t>UCS 9.1 Database Size Estimator</t>
  </si>
  <si>
    <t>https://docs.genesys.com/Documentation/UCS</t>
  </si>
  <si>
    <r>
      <rPr>
        <b/>
        <sz val="10"/>
        <rFont val="Arial"/>
        <family val="2"/>
      </rPr>
      <t>Note:</t>
    </r>
    <r>
      <rPr>
        <sz val="10"/>
        <rFont val="Arial"/>
        <family val="2"/>
      </rPr>
      <t xml:space="preserve"> The estimator can also be accessed from the Universal Contact Server documentation landing page using the link provided below.</t>
    </r>
  </si>
  <si>
    <r>
      <rPr>
        <b/>
        <sz val="10"/>
        <rFont val="Arial"/>
        <family val="2"/>
      </rPr>
      <t>Document Version:</t>
    </r>
    <r>
      <rPr>
        <sz val="10"/>
        <rFont val="Arial"/>
        <family val="2"/>
      </rPr>
      <t xml:space="preserve"> g_DBSizing_06-2018_v9.0.001.00</t>
    </r>
  </si>
  <si>
    <r>
      <rPr>
        <b/>
        <sz val="10"/>
        <rFont val="Arial"/>
        <family val="2"/>
      </rPr>
      <t>Customer Care from Genesys</t>
    </r>
    <r>
      <rPr>
        <sz val="10"/>
        <rFont val="Arial"/>
        <family val="2"/>
      </rPr>
      <t xml:space="preserve">
If you have purchased support directly from Genesys, please contact Genesys Customer Care (http://www.genesys.com/customer-care/contact-us). Before contacting
Customer Care, please refer to the Genesys Care Support Guide for On-Premises (https://www.genesys.com/customer-care/support-processes) for complete contact information and procedures.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</si>
</sst>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Red]#,##0"/>
    <numFmt numFmtId="165" formatCode="0.000%"/>
    <numFmt numFmtId="166" formatCode="#,##0.000000;[Red]#,##0.000000"/>
  </numFmts>
  <fonts count="44" x14ac:knownFonts="1">
    <font>
      <sz val="10"/>
      <name val="Arial"/>
    </font>
    <font>
      <sz val="10"/>
      <name val="Arial"/>
      <family val="2"/>
    </font>
    <font>
      <b/>
      <sz val="10"/>
      <name val="Arial"/>
      <family val="2"/>
    </font>
    <font>
      <sz val="10"/>
      <name val="Arial"/>
      <family val="2"/>
    </font>
    <font>
      <sz val="8"/>
      <name val="Arial"/>
      <family val="2"/>
    </font>
    <font>
      <i/>
      <sz val="10"/>
      <name val="Arial"/>
      <family val="2"/>
    </font>
    <font>
      <u/>
      <sz val="10"/>
      <color indexed="12"/>
      <name val="Arial"/>
      <family val="2"/>
    </font>
    <font>
      <b/>
      <sz val="10"/>
      <name val="Arial"/>
      <family val="2"/>
    </font>
    <font>
      <b/>
      <sz val="10"/>
      <name val="Arial"/>
      <family val="2"/>
      <charset val="204"/>
    </font>
    <font>
      <b/>
      <i/>
      <sz val="10"/>
      <name val="Arial"/>
      <family val="2"/>
    </font>
    <font>
      <b/>
      <sz val="10"/>
      <color indexed="9"/>
      <name val="Arial"/>
      <family val="2"/>
    </font>
    <font>
      <sz val="10"/>
      <color indexed="10"/>
      <name val="Arial"/>
      <family val="2"/>
    </font>
    <font>
      <sz val="10"/>
      <color indexed="18"/>
      <name val="Arial"/>
      <family val="2"/>
    </font>
    <font>
      <sz val="10"/>
      <color indexed="18"/>
      <name val="Arial"/>
      <family val="2"/>
    </font>
    <font>
      <b/>
      <sz val="10"/>
      <color indexed="9"/>
      <name val="Arial"/>
      <family val="2"/>
    </font>
    <font>
      <b/>
      <i/>
      <u/>
      <sz val="10"/>
      <name val="Arial"/>
      <family val="2"/>
    </font>
    <font>
      <b/>
      <sz val="10"/>
      <color indexed="10"/>
      <name val="Arial"/>
      <family val="2"/>
    </font>
    <font>
      <b/>
      <sz val="9"/>
      <color indexed="8"/>
      <name val="Arial"/>
      <family val="2"/>
    </font>
    <font>
      <b/>
      <sz val="12"/>
      <name val="Arial"/>
      <family val="2"/>
    </font>
    <font>
      <b/>
      <sz val="14"/>
      <name val="Arial"/>
      <family val="2"/>
    </font>
    <font>
      <sz val="14"/>
      <name val="Arial"/>
      <family val="2"/>
    </font>
    <font>
      <b/>
      <sz val="11"/>
      <color indexed="8"/>
      <name val="Calibri"/>
      <family val="2"/>
    </font>
    <font>
      <b/>
      <sz val="24"/>
      <color indexed="10"/>
      <name val="Calibri"/>
      <family val="2"/>
    </font>
    <font>
      <sz val="11"/>
      <name val="Calibri"/>
      <family val="2"/>
    </font>
    <font>
      <b/>
      <sz val="12"/>
      <color indexed="10"/>
      <name val="Arial"/>
      <family val="2"/>
    </font>
    <font>
      <b/>
      <sz val="8"/>
      <color indexed="81"/>
      <name val="Tahoma"/>
      <family val="2"/>
    </font>
    <font>
      <sz val="8"/>
      <color indexed="81"/>
      <name val="Tahoma"/>
      <family val="2"/>
    </font>
    <font>
      <b/>
      <u/>
      <sz val="8"/>
      <color indexed="81"/>
      <name val="Tahoma"/>
      <family val="2"/>
    </font>
    <font>
      <sz val="11"/>
      <name val="Arial Black"/>
      <family val="2"/>
      <charset val="204"/>
    </font>
    <font>
      <sz val="11"/>
      <color theme="1"/>
      <name val="Calibri"/>
      <family val="2"/>
      <scheme val="minor"/>
    </font>
    <font>
      <sz val="11"/>
      <color theme="0"/>
      <name val="Calibri"/>
      <family val="2"/>
      <scheme val="minor"/>
    </font>
    <font>
      <b/>
      <sz val="11"/>
      <color theme="1"/>
      <name val="Calibri"/>
      <family val="2"/>
      <scheme val="minor"/>
    </font>
    <font>
      <sz val="11"/>
      <color rgb="FFFF0000"/>
      <name val="Calibri"/>
      <family val="2"/>
      <scheme val="minor"/>
    </font>
    <font>
      <sz val="11"/>
      <color theme="1"/>
      <name val="Arial Black"/>
      <family val="2"/>
      <charset val="204"/>
    </font>
    <font>
      <sz val="11"/>
      <color rgb="FF00B050"/>
      <name val="Arial Black"/>
      <family val="2"/>
      <charset val="204"/>
    </font>
    <font>
      <sz val="11"/>
      <name val="Calibri"/>
      <family val="2"/>
      <scheme val="minor"/>
    </font>
    <font>
      <b/>
      <sz val="10"/>
      <color rgb="FFFF0000"/>
      <name val="Arial"/>
      <family val="2"/>
    </font>
    <font>
      <sz val="11"/>
      <color theme="0"/>
      <name val="Arial Black"/>
      <family val="2"/>
      <charset val="204"/>
    </font>
    <font>
      <b/>
      <sz val="11"/>
      <color theme="0"/>
      <name val="Calibri"/>
      <family val="2"/>
      <charset val="204"/>
      <scheme val="minor"/>
    </font>
    <font>
      <sz val="10"/>
      <color theme="1"/>
      <name val="Arial"/>
      <family val="2"/>
    </font>
    <font>
      <sz val="10.5"/>
      <color theme="0"/>
      <name val="Consolas"/>
      <family val="3"/>
      <charset val="204"/>
    </font>
    <font>
      <sz val="11"/>
      <color theme="0"/>
      <name val="Calibri"/>
      <family val="2"/>
      <charset val="204"/>
      <scheme val="minor"/>
    </font>
    <font>
      <sz val="12"/>
      <color theme="0"/>
      <name val="Times New Roman"/>
      <family val="1"/>
      <charset val="204"/>
    </font>
    <font>
      <b/>
      <sz val="10"/>
      <color theme="1"/>
      <name val="Arial"/>
      <family val="2"/>
    </font>
  </fonts>
  <fills count="16">
    <fill>
      <patternFill patternType="none"/>
    </fill>
    <fill>
      <patternFill patternType="gray125"/>
    </fill>
    <fill>
      <patternFill patternType="solid">
        <fgColor indexed="22"/>
        <bgColor indexed="64"/>
      </patternFill>
    </fill>
    <fill>
      <patternFill patternType="solid">
        <fgColor indexed="15"/>
        <bgColor indexed="64"/>
      </patternFill>
    </fill>
    <fill>
      <patternFill patternType="solid">
        <fgColor indexed="13"/>
        <bgColor indexed="64"/>
      </patternFill>
    </fill>
    <fill>
      <patternFill patternType="solid">
        <fgColor indexed="9"/>
        <bgColor indexed="64"/>
      </patternFill>
    </fill>
    <fill>
      <patternFill patternType="solid">
        <fgColor indexed="24"/>
        <bgColor indexed="64"/>
      </patternFill>
    </fill>
    <fill>
      <patternFill patternType="solid">
        <fgColor indexed="47"/>
        <bgColor indexed="64"/>
      </patternFill>
    </fill>
    <fill>
      <patternFill patternType="solid">
        <fgColor indexed="52"/>
        <bgColor indexed="64"/>
      </patternFill>
    </fill>
    <fill>
      <patternFill patternType="solid">
        <fgColor indexed="54"/>
        <bgColor indexed="64"/>
      </patternFill>
    </fill>
    <fill>
      <patternFill patternType="solid">
        <fgColor indexed="21"/>
        <bgColor indexed="64"/>
      </patternFill>
    </fill>
    <fill>
      <patternFill patternType="solid">
        <fgColor indexed="40"/>
        <bgColor indexed="64"/>
      </patternFill>
    </fill>
    <fill>
      <patternFill patternType="solid">
        <fgColor rgb="FF00FFFF"/>
        <bgColor indexed="64"/>
      </patternFill>
    </fill>
    <fill>
      <patternFill patternType="solid">
        <fgColor theme="0" tint="-0.34998626667073579"/>
        <bgColor indexed="64"/>
      </patternFill>
    </fill>
    <fill>
      <patternFill patternType="solid">
        <fgColor theme="0"/>
        <bgColor indexed="64"/>
      </patternFill>
    </fill>
    <fill>
      <patternFill patternType="solid">
        <fgColor theme="3" tint="0.79998168889431442"/>
        <bgColor indexed="64"/>
      </patternFill>
    </fill>
  </fills>
  <borders count="66">
    <border>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s>
  <cellStyleXfs count="4">
    <xf numFmtId="0" fontId="0" fillId="0" borderId="0"/>
    <xf numFmtId="0" fontId="6" fillId="0" borderId="0" applyNumberFormat="0" applyFill="0" applyBorder="0" applyAlignment="0" applyProtection="0">
      <alignment vertical="top"/>
      <protection locked="0"/>
    </xf>
    <xf numFmtId="0" fontId="29" fillId="0" borderId="0"/>
    <xf numFmtId="0" fontId="29" fillId="0" borderId="0"/>
  </cellStyleXfs>
  <cellXfs count="374">
    <xf numFmtId="0" fontId="0" fillId="0" borderId="0" xfId="0"/>
    <xf numFmtId="0" fontId="0" fillId="0" borderId="0" xfId="0" applyBorder="1"/>
    <xf numFmtId="3" fontId="0" fillId="2" borderId="1" xfId="0" applyNumberFormat="1" applyFill="1" applyBorder="1" applyProtection="1">
      <protection locked="0"/>
    </xf>
    <xf numFmtId="0" fontId="2" fillId="3" borderId="2" xfId="0" applyFont="1" applyFill="1" applyBorder="1"/>
    <xf numFmtId="0" fontId="2" fillId="3" borderId="3" xfId="0" applyFont="1" applyFill="1" applyBorder="1"/>
    <xf numFmtId="0" fontId="0" fillId="3" borderId="4" xfId="0" applyFill="1" applyBorder="1"/>
    <xf numFmtId="0" fontId="3" fillId="3" borderId="4" xfId="0" applyFont="1" applyFill="1" applyBorder="1"/>
    <xf numFmtId="0" fontId="5" fillId="3" borderId="2" xfId="0" applyFont="1" applyFill="1" applyBorder="1" applyAlignment="1">
      <alignment wrapText="1"/>
    </xf>
    <xf numFmtId="0" fontId="0" fillId="3" borderId="5" xfId="0" applyFill="1" applyBorder="1"/>
    <xf numFmtId="3" fontId="3" fillId="2" borderId="4" xfId="0" applyNumberFormat="1" applyFont="1" applyFill="1" applyBorder="1"/>
    <xf numFmtId="1" fontId="3" fillId="2" borderId="4" xfId="0" applyNumberFormat="1" applyFont="1" applyFill="1" applyBorder="1"/>
    <xf numFmtId="0" fontId="2" fillId="3" borderId="6" xfId="0" applyFont="1" applyFill="1" applyBorder="1"/>
    <xf numFmtId="0" fontId="7" fillId="3" borderId="3" xfId="0" applyFont="1" applyFill="1" applyBorder="1"/>
    <xf numFmtId="0" fontId="7" fillId="3" borderId="3" xfId="0" applyNumberFormat="1" applyFont="1" applyFill="1" applyBorder="1"/>
    <xf numFmtId="3" fontId="0" fillId="0" borderId="0" xfId="0" applyNumberFormat="1" applyFill="1" applyBorder="1" applyProtection="1"/>
    <xf numFmtId="2" fontId="0" fillId="0" borderId="0" xfId="0" applyNumberFormat="1" applyFill="1" applyBorder="1"/>
    <xf numFmtId="4" fontId="0" fillId="0" borderId="0" xfId="0" applyNumberFormat="1" applyFill="1" applyBorder="1"/>
    <xf numFmtId="4" fontId="7" fillId="2" borderId="3" xfId="0" applyNumberFormat="1" applyFont="1" applyFill="1" applyBorder="1" applyProtection="1"/>
    <xf numFmtId="0" fontId="7" fillId="0" borderId="0" xfId="0" applyFont="1" applyFill="1" applyBorder="1" applyProtection="1"/>
    <xf numFmtId="0" fontId="0" fillId="0" borderId="0" xfId="0" applyFill="1" applyProtection="1"/>
    <xf numFmtId="0" fontId="3" fillId="3" borderId="7" xfId="0" applyFont="1" applyFill="1" applyBorder="1"/>
    <xf numFmtId="3" fontId="0" fillId="2" borderId="8" xfId="0" applyNumberFormat="1" applyFill="1" applyBorder="1" applyProtection="1">
      <protection locked="0"/>
    </xf>
    <xf numFmtId="0" fontId="7" fillId="0" borderId="0" xfId="0" applyFont="1" applyBorder="1"/>
    <xf numFmtId="0" fontId="8" fillId="0" borderId="0" xfId="0" applyFont="1" applyAlignment="1">
      <alignment wrapText="1"/>
    </xf>
    <xf numFmtId="0" fontId="7" fillId="0" borderId="0" xfId="0" applyFont="1" applyAlignment="1">
      <alignment wrapText="1"/>
    </xf>
    <xf numFmtId="0" fontId="8" fillId="2" borderId="5" xfId="0" applyFont="1" applyFill="1" applyBorder="1" applyAlignment="1">
      <alignment wrapText="1"/>
    </xf>
    <xf numFmtId="0" fontId="8" fillId="0" borderId="0" xfId="0" applyFont="1"/>
    <xf numFmtId="0" fontId="8" fillId="4" borderId="3" xfId="0" applyFont="1" applyFill="1" applyBorder="1"/>
    <xf numFmtId="0" fontId="0" fillId="0" borderId="3" xfId="0" applyBorder="1"/>
    <xf numFmtId="0" fontId="0" fillId="2" borderId="9" xfId="0" applyFill="1" applyBorder="1"/>
    <xf numFmtId="0" fontId="0" fillId="2" borderId="6" xfId="0" applyFill="1" applyBorder="1"/>
    <xf numFmtId="0" fontId="3" fillId="3" borderId="10" xfId="0" applyFont="1" applyFill="1" applyBorder="1"/>
    <xf numFmtId="0" fontId="0" fillId="2" borderId="7" xfId="0" applyFill="1" applyBorder="1"/>
    <xf numFmtId="0" fontId="0" fillId="2" borderId="4" xfId="0" applyFill="1" applyBorder="1"/>
    <xf numFmtId="0" fontId="3" fillId="2" borderId="4" xfId="0" applyFont="1" applyFill="1" applyBorder="1"/>
    <xf numFmtId="0" fontId="7" fillId="3" borderId="3" xfId="0" applyNumberFormat="1" applyFont="1" applyFill="1" applyBorder="1" applyProtection="1">
      <protection locked="0"/>
    </xf>
    <xf numFmtId="0" fontId="0" fillId="2" borderId="8" xfId="0" applyFill="1" applyBorder="1"/>
    <xf numFmtId="0" fontId="2" fillId="3" borderId="9" xfId="0" applyFont="1" applyFill="1" applyBorder="1"/>
    <xf numFmtId="0" fontId="7" fillId="3" borderId="11" xfId="0" applyNumberFormat="1" applyFont="1" applyFill="1" applyBorder="1" applyProtection="1"/>
    <xf numFmtId="0" fontId="0" fillId="3" borderId="12" xfId="0" applyFill="1" applyBorder="1"/>
    <xf numFmtId="3" fontId="0" fillId="3" borderId="0" xfId="0" applyNumberFormat="1" applyFill="1" applyBorder="1" applyProtection="1"/>
    <xf numFmtId="0" fontId="0" fillId="3" borderId="1" xfId="0" applyFill="1" applyBorder="1"/>
    <xf numFmtId="0" fontId="7" fillId="3" borderId="0" xfId="0" applyNumberFormat="1" applyFont="1" applyFill="1" applyBorder="1" applyProtection="1"/>
    <xf numFmtId="0" fontId="3" fillId="2" borderId="8" xfId="0" applyFont="1" applyFill="1" applyBorder="1"/>
    <xf numFmtId="0" fontId="3" fillId="0" borderId="0" xfId="0" applyFont="1" applyFill="1"/>
    <xf numFmtId="3" fontId="0" fillId="0" borderId="13" xfId="0" applyNumberFormat="1" applyFill="1" applyBorder="1" applyProtection="1"/>
    <xf numFmtId="3" fontId="0" fillId="2" borderId="3" xfId="0" applyNumberFormat="1" applyFill="1" applyBorder="1" applyProtection="1"/>
    <xf numFmtId="0" fontId="2" fillId="0" borderId="0" xfId="0" applyFont="1" applyFill="1" applyBorder="1"/>
    <xf numFmtId="3" fontId="0" fillId="2" borderId="3" xfId="0" applyNumberFormat="1" applyFill="1" applyBorder="1" applyProtection="1">
      <protection locked="0"/>
    </xf>
    <xf numFmtId="3" fontId="0" fillId="0" borderId="14" xfId="0" applyNumberFormat="1" applyFill="1" applyBorder="1" applyProtection="1"/>
    <xf numFmtId="0" fontId="2" fillId="0" borderId="0" xfId="0" applyFont="1"/>
    <xf numFmtId="0" fontId="7" fillId="3" borderId="2" xfId="0" applyFont="1" applyFill="1" applyBorder="1"/>
    <xf numFmtId="0" fontId="0" fillId="0" borderId="6" xfId="0" applyFill="1" applyBorder="1"/>
    <xf numFmtId="3" fontId="0" fillId="0" borderId="1" xfId="0" applyNumberFormat="1" applyFill="1" applyBorder="1" applyProtection="1"/>
    <xf numFmtId="0" fontId="7" fillId="3" borderId="4" xfId="0" applyFont="1" applyFill="1" applyBorder="1"/>
    <xf numFmtId="4" fontId="7" fillId="2" borderId="1" xfId="0" applyNumberFormat="1" applyFont="1" applyFill="1" applyBorder="1" applyProtection="1"/>
    <xf numFmtId="2" fontId="7" fillId="3" borderId="4" xfId="0" applyNumberFormat="1" applyFont="1" applyFill="1" applyBorder="1"/>
    <xf numFmtId="3" fontId="0" fillId="0" borderId="0" xfId="0" applyNumberFormat="1"/>
    <xf numFmtId="1" fontId="0" fillId="0" borderId="0" xfId="0" applyNumberFormat="1"/>
    <xf numFmtId="0" fontId="0" fillId="4" borderId="0" xfId="0" applyFill="1"/>
    <xf numFmtId="0" fontId="0" fillId="5" borderId="0" xfId="0" applyFill="1"/>
    <xf numFmtId="0" fontId="10" fillId="6" borderId="13" xfId="0" applyFont="1" applyFill="1" applyBorder="1"/>
    <xf numFmtId="0" fontId="10" fillId="6" borderId="13" xfId="0" applyFont="1" applyFill="1" applyBorder="1" applyAlignment="1">
      <alignment wrapText="1"/>
    </xf>
    <xf numFmtId="0" fontId="11" fillId="0" borderId="0" xfId="0" applyFont="1" applyAlignment="1">
      <alignment wrapText="1"/>
    </xf>
    <xf numFmtId="0" fontId="0" fillId="7" borderId="0" xfId="0" applyFill="1"/>
    <xf numFmtId="3" fontId="0" fillId="7" borderId="0" xfId="0" applyNumberFormat="1" applyFill="1"/>
    <xf numFmtId="0" fontId="12" fillId="4" borderId="0" xfId="0" applyFont="1" applyFill="1" applyAlignment="1">
      <alignment wrapText="1"/>
    </xf>
    <xf numFmtId="0" fontId="13" fillId="8" borderId="0" xfId="0" applyFont="1" applyFill="1"/>
    <xf numFmtId="0" fontId="13" fillId="4" borderId="0" xfId="0" applyFont="1" applyFill="1" applyAlignment="1">
      <alignment wrapText="1"/>
    </xf>
    <xf numFmtId="0" fontId="10" fillId="9" borderId="0" xfId="0" applyFont="1" applyFill="1"/>
    <xf numFmtId="3" fontId="10" fillId="9" borderId="0" xfId="0" applyNumberFormat="1" applyFont="1" applyFill="1"/>
    <xf numFmtId="0" fontId="0" fillId="9" borderId="0" xfId="0" applyFill="1"/>
    <xf numFmtId="0" fontId="10" fillId="5" borderId="0" xfId="0" applyFont="1" applyFill="1"/>
    <xf numFmtId="3" fontId="10" fillId="5" borderId="0" xfId="0" applyNumberFormat="1" applyFont="1" applyFill="1"/>
    <xf numFmtId="0" fontId="3" fillId="5" borderId="0" xfId="0" applyFont="1" applyFill="1"/>
    <xf numFmtId="0" fontId="3" fillId="0" borderId="0" xfId="0" applyFont="1"/>
    <xf numFmtId="3" fontId="3" fillId="5" borderId="0" xfId="0" applyNumberFormat="1" applyFont="1" applyFill="1"/>
    <xf numFmtId="1" fontId="3" fillId="5" borderId="0" xfId="0" applyNumberFormat="1" applyFont="1" applyFill="1"/>
    <xf numFmtId="0" fontId="14" fillId="10" borderId="0" xfId="0" applyFont="1" applyFill="1"/>
    <xf numFmtId="0" fontId="0" fillId="3" borderId="0" xfId="0" applyFill="1"/>
    <xf numFmtId="0" fontId="10" fillId="9" borderId="0" xfId="0" applyFont="1" applyFill="1" applyAlignment="1">
      <alignment vertical="top"/>
    </xf>
    <xf numFmtId="0" fontId="10" fillId="9" borderId="0" xfId="0" applyFont="1" applyFill="1" applyAlignment="1">
      <alignment vertical="top" wrapText="1"/>
    </xf>
    <xf numFmtId="1" fontId="10" fillId="9" borderId="0" xfId="0" applyNumberFormat="1" applyFont="1" applyFill="1" applyAlignment="1">
      <alignment vertical="top" wrapText="1"/>
    </xf>
    <xf numFmtId="0" fontId="0" fillId="4" borderId="0" xfId="0" applyFill="1" applyAlignment="1">
      <alignment wrapText="1"/>
    </xf>
    <xf numFmtId="2" fontId="2" fillId="0" borderId="0" xfId="0" applyNumberFormat="1" applyFont="1" applyFill="1" applyBorder="1"/>
    <xf numFmtId="0" fontId="0" fillId="0" borderId="0" xfId="0" applyAlignment="1">
      <alignment wrapText="1"/>
    </xf>
    <xf numFmtId="0" fontId="0" fillId="3" borderId="6" xfId="0" applyFill="1" applyBorder="1"/>
    <xf numFmtId="4" fontId="0" fillId="2" borderId="1" xfId="0" applyNumberFormat="1" applyFill="1" applyBorder="1" applyProtection="1">
      <protection locked="0"/>
    </xf>
    <xf numFmtId="0" fontId="3" fillId="0" borderId="6" xfId="0" applyFont="1" applyFill="1" applyBorder="1"/>
    <xf numFmtId="3" fontId="3" fillId="0" borderId="1" xfId="0" applyNumberFormat="1" applyFont="1" applyFill="1" applyBorder="1" applyProtection="1"/>
    <xf numFmtId="2" fontId="3" fillId="0" borderId="0" xfId="0" applyNumberFormat="1" applyFont="1" applyFill="1" applyBorder="1"/>
    <xf numFmtId="0" fontId="7" fillId="0" borderId="0" xfId="0" applyFont="1" applyAlignment="1">
      <alignment horizontal="center" vertical="center" wrapText="1"/>
    </xf>
    <xf numFmtId="0" fontId="16" fillId="0" borderId="6" xfId="0" applyFont="1" applyBorder="1" applyAlignment="1">
      <alignment horizontal="left"/>
    </xf>
    <xf numFmtId="0" fontId="16" fillId="0" borderId="0" xfId="0" applyFont="1" applyAlignment="1">
      <alignment horizontal="left"/>
    </xf>
    <xf numFmtId="0" fontId="0" fillId="0" borderId="0" xfId="0" applyAlignment="1">
      <alignment horizontal="left"/>
    </xf>
    <xf numFmtId="4" fontId="7" fillId="3" borderId="3" xfId="0" applyNumberFormat="1" applyFont="1" applyFill="1" applyBorder="1" applyProtection="1"/>
    <xf numFmtId="0" fontId="2" fillId="0" borderId="6" xfId="0" applyFont="1" applyFill="1" applyBorder="1"/>
    <xf numFmtId="0" fontId="17" fillId="0" borderId="0" xfId="0" applyFont="1"/>
    <xf numFmtId="0" fontId="6" fillId="0" borderId="0" xfId="1" applyAlignment="1" applyProtection="1"/>
    <xf numFmtId="0" fontId="2" fillId="3" borderId="15" xfId="0" applyFont="1" applyFill="1" applyBorder="1" applyAlignment="1">
      <alignment horizontal="center"/>
    </xf>
    <xf numFmtId="0" fontId="2" fillId="3" borderId="16" xfId="0" applyFont="1" applyFill="1" applyBorder="1" applyAlignment="1">
      <alignment horizontal="center"/>
    </xf>
    <xf numFmtId="0" fontId="3" fillId="3" borderId="17" xfId="0" applyFont="1" applyFill="1" applyBorder="1" applyAlignment="1">
      <alignment horizontal="right"/>
    </xf>
    <xf numFmtId="0" fontId="3" fillId="2" borderId="18" xfId="0" applyFont="1" applyFill="1" applyBorder="1" applyAlignment="1">
      <alignment horizontal="right"/>
    </xf>
    <xf numFmtId="0" fontId="0" fillId="0" borderId="0" xfId="0" applyBorder="1" applyAlignment="1">
      <alignment horizontal="center"/>
    </xf>
    <xf numFmtId="3" fontId="0" fillId="0" borderId="0" xfId="0" applyNumberFormat="1" applyBorder="1" applyAlignment="1">
      <alignment horizontal="center"/>
    </xf>
    <xf numFmtId="3" fontId="0" fillId="0" borderId="0" xfId="0" applyNumberFormat="1" applyBorder="1"/>
    <xf numFmtId="0" fontId="0" fillId="3" borderId="17" xfId="0" applyFill="1" applyBorder="1" applyAlignment="1">
      <alignment horizontal="right"/>
    </xf>
    <xf numFmtId="3" fontId="0" fillId="2" borderId="18" xfId="0" applyNumberFormat="1" applyFill="1" applyBorder="1"/>
    <xf numFmtId="0" fontId="0" fillId="2" borderId="18" xfId="0" applyFill="1" applyBorder="1"/>
    <xf numFmtId="0" fontId="0" fillId="0" borderId="0" xfId="0" applyFill="1" applyBorder="1" applyAlignment="1">
      <alignment horizontal="center"/>
    </xf>
    <xf numFmtId="0" fontId="0" fillId="3" borderId="19" xfId="0" applyFill="1" applyBorder="1" applyAlignment="1">
      <alignment horizontal="right"/>
    </xf>
    <xf numFmtId="0" fontId="0" fillId="2" borderId="20" xfId="0" applyFill="1" applyBorder="1"/>
    <xf numFmtId="0" fontId="1" fillId="3" borderId="19" xfId="0" applyFont="1" applyFill="1" applyBorder="1" applyAlignment="1">
      <alignment horizontal="right"/>
    </xf>
    <xf numFmtId="0" fontId="1" fillId="2" borderId="20" xfId="0" applyFont="1" applyFill="1" applyBorder="1"/>
    <xf numFmtId="0" fontId="1" fillId="0" borderId="0" xfId="0" applyFont="1" applyFill="1" applyBorder="1" applyAlignment="1">
      <alignment horizontal="center"/>
    </xf>
    <xf numFmtId="3" fontId="1" fillId="0" borderId="0" xfId="0" applyNumberFormat="1" applyFont="1" applyBorder="1"/>
    <xf numFmtId="0" fontId="0" fillId="3" borderId="21" xfId="0" applyFill="1" applyBorder="1" applyAlignment="1">
      <alignment horizontal="right"/>
    </xf>
    <xf numFmtId="0" fontId="0" fillId="2" borderId="22" xfId="0" applyFill="1" applyBorder="1"/>
    <xf numFmtId="0" fontId="0" fillId="3" borderId="23" xfId="0" applyFill="1" applyBorder="1" applyAlignment="1">
      <alignment horizontal="right"/>
    </xf>
    <xf numFmtId="0" fontId="0" fillId="2" borderId="24" xfId="0" applyFill="1" applyBorder="1" applyAlignment="1">
      <alignment horizontal="right"/>
    </xf>
    <xf numFmtId="0" fontId="2" fillId="3" borderId="25" xfId="0" applyFont="1" applyFill="1" applyBorder="1" applyAlignment="1">
      <alignment horizontal="center"/>
    </xf>
    <xf numFmtId="0" fontId="2" fillId="3" borderId="26" xfId="0" applyFont="1" applyFill="1" applyBorder="1" applyAlignment="1">
      <alignment horizontal="center"/>
    </xf>
    <xf numFmtId="3" fontId="2" fillId="3" borderId="27" xfId="0" applyNumberFormat="1" applyFont="1" applyFill="1" applyBorder="1" applyAlignment="1">
      <alignment horizontal="center"/>
    </xf>
    <xf numFmtId="0" fontId="1" fillId="3" borderId="28" xfId="0" applyFont="1" applyFill="1" applyBorder="1" applyAlignment="1">
      <alignment horizontal="right"/>
    </xf>
    <xf numFmtId="3" fontId="1" fillId="3" borderId="4" xfId="0" applyNumberFormat="1" applyFont="1" applyFill="1" applyBorder="1"/>
    <xf numFmtId="4" fontId="1" fillId="3" borderId="4" xfId="0" applyNumberFormat="1" applyFont="1" applyFill="1" applyBorder="1"/>
    <xf numFmtId="3" fontId="0" fillId="3" borderId="29" xfId="0" applyNumberFormat="1" applyFill="1" applyBorder="1"/>
    <xf numFmtId="3" fontId="0" fillId="3" borderId="29" xfId="0" applyNumberFormat="1" applyFill="1" applyBorder="1" applyAlignment="1">
      <alignment horizontal="left" wrapText="1"/>
    </xf>
    <xf numFmtId="0" fontId="0" fillId="3" borderId="28" xfId="0" applyFill="1" applyBorder="1" applyAlignment="1">
      <alignment horizontal="right"/>
    </xf>
    <xf numFmtId="3" fontId="0" fillId="3" borderId="4" xfId="0" applyNumberFormat="1" applyFill="1" applyBorder="1"/>
    <xf numFmtId="4" fontId="0" fillId="3" borderId="4" xfId="0" applyNumberFormat="1" applyFill="1" applyBorder="1"/>
    <xf numFmtId="3" fontId="1" fillId="3" borderId="29" xfId="0" applyNumberFormat="1" applyFont="1" applyFill="1" applyBorder="1"/>
    <xf numFmtId="3" fontId="1" fillId="3" borderId="30" xfId="0" applyNumberFormat="1" applyFont="1" applyFill="1" applyBorder="1" applyAlignment="1">
      <alignment wrapText="1"/>
    </xf>
    <xf numFmtId="3" fontId="1" fillId="3" borderId="30" xfId="0" applyNumberFormat="1" applyFont="1" applyFill="1" applyBorder="1"/>
    <xf numFmtId="3" fontId="1" fillId="3" borderId="29" xfId="0" applyNumberFormat="1" applyFont="1" applyFill="1" applyBorder="1" applyAlignment="1">
      <alignment wrapText="1"/>
    </xf>
    <xf numFmtId="0" fontId="1" fillId="3" borderId="31" xfId="0" applyFont="1" applyFill="1" applyBorder="1" applyAlignment="1">
      <alignment horizontal="right"/>
    </xf>
    <xf numFmtId="0" fontId="1" fillId="3" borderId="32" xfId="0" applyFont="1" applyFill="1" applyBorder="1" applyAlignment="1">
      <alignment horizontal="right"/>
    </xf>
    <xf numFmtId="3" fontId="1" fillId="3" borderId="33" xfId="0" applyNumberFormat="1" applyFont="1" applyFill="1" applyBorder="1"/>
    <xf numFmtId="4" fontId="1" fillId="3" borderId="33" xfId="0" applyNumberFormat="1" applyFont="1" applyFill="1" applyBorder="1"/>
    <xf numFmtId="3" fontId="1" fillId="3" borderId="34" xfId="0" applyNumberFormat="1" applyFont="1" applyFill="1" applyBorder="1" applyAlignment="1">
      <alignment wrapText="1"/>
    </xf>
    <xf numFmtId="3" fontId="2" fillId="3" borderId="26" xfId="0" applyNumberFormat="1" applyFont="1" applyFill="1" applyBorder="1" applyAlignment="1">
      <alignment horizontal="center"/>
    </xf>
    <xf numFmtId="4" fontId="0" fillId="3" borderId="29" xfId="0" applyNumberFormat="1" applyFill="1" applyBorder="1"/>
    <xf numFmtId="0" fontId="0" fillId="3" borderId="35" xfId="0" applyFill="1" applyBorder="1" applyAlignment="1">
      <alignment horizontal="right"/>
    </xf>
    <xf numFmtId="3" fontId="0" fillId="3" borderId="33" xfId="0" applyNumberFormat="1" applyFill="1" applyBorder="1"/>
    <xf numFmtId="4" fontId="0" fillId="3" borderId="36" xfId="0" applyNumberFormat="1" applyFill="1" applyBorder="1"/>
    <xf numFmtId="0" fontId="0" fillId="0" borderId="0" xfId="0" applyAlignment="1">
      <alignment horizontal="right"/>
    </xf>
    <xf numFmtId="0" fontId="0" fillId="0" borderId="0" xfId="0" applyFill="1" applyBorder="1" applyAlignment="1">
      <alignment horizontal="left"/>
    </xf>
    <xf numFmtId="0" fontId="2" fillId="0" borderId="2" xfId="0" applyFont="1" applyFill="1" applyBorder="1"/>
    <xf numFmtId="0" fontId="18" fillId="0" borderId="0" xfId="0" applyFont="1" applyAlignment="1">
      <alignment horizontal="left"/>
    </xf>
    <xf numFmtId="0" fontId="0" fillId="3" borderId="10" xfId="0" applyFill="1" applyBorder="1"/>
    <xf numFmtId="0" fontId="0" fillId="0" borderId="0" xfId="0" applyAlignment="1">
      <alignment vertical="top" wrapText="1"/>
    </xf>
    <xf numFmtId="0" fontId="2" fillId="0" borderId="0" xfId="0" applyFont="1" applyAlignment="1">
      <alignment vertical="top" wrapText="1"/>
    </xf>
    <xf numFmtId="0" fontId="0" fillId="0" borderId="0" xfId="0" applyAlignment="1">
      <alignment vertical="top"/>
    </xf>
    <xf numFmtId="0" fontId="5" fillId="3" borderId="2" xfId="0" applyFont="1" applyFill="1" applyBorder="1" applyAlignment="1">
      <alignment vertical="top" wrapText="1"/>
    </xf>
    <xf numFmtId="0" fontId="0" fillId="3" borderId="5" xfId="0" applyFill="1" applyBorder="1" applyAlignment="1">
      <alignment vertical="top"/>
    </xf>
    <xf numFmtId="0" fontId="0" fillId="0" borderId="0" xfId="0" applyNumberFormat="1" applyAlignment="1">
      <alignment vertical="top"/>
    </xf>
    <xf numFmtId="0" fontId="0" fillId="0" borderId="3" xfId="0" applyBorder="1" applyAlignment="1">
      <alignment vertical="top"/>
    </xf>
    <xf numFmtId="0" fontId="29" fillId="0" borderId="0" xfId="2" applyAlignment="1">
      <alignment wrapText="1"/>
    </xf>
    <xf numFmtId="0" fontId="21" fillId="0" borderId="0" xfId="2" applyFont="1" applyBorder="1" applyAlignment="1">
      <alignment horizontal="center" wrapText="1"/>
    </xf>
    <xf numFmtId="0" fontId="29" fillId="0" borderId="0" xfId="2" applyBorder="1" applyAlignment="1">
      <alignment horizontal="center" wrapText="1"/>
    </xf>
    <xf numFmtId="0" fontId="29" fillId="0" borderId="0" xfId="2" applyNumberFormat="1" applyBorder="1" applyAlignment="1">
      <alignment horizontal="center" wrapText="1"/>
    </xf>
    <xf numFmtId="0" fontId="21" fillId="0" borderId="0" xfId="2" applyFont="1" applyFill="1" applyBorder="1" applyAlignment="1">
      <alignment wrapText="1"/>
    </xf>
    <xf numFmtId="0" fontId="29" fillId="0" borderId="0" xfId="2" applyFill="1" applyBorder="1" applyAlignment="1">
      <alignment wrapText="1"/>
    </xf>
    <xf numFmtId="0" fontId="29" fillId="0" borderId="0" xfId="2" applyBorder="1" applyAlignment="1">
      <alignment wrapText="1"/>
    </xf>
    <xf numFmtId="0" fontId="21" fillId="0" borderId="0" xfId="2" applyFont="1" applyAlignment="1">
      <alignment wrapText="1"/>
    </xf>
    <xf numFmtId="0" fontId="31" fillId="0" borderId="0" xfId="2" applyFont="1" applyAlignment="1">
      <alignment wrapText="1"/>
    </xf>
    <xf numFmtId="0" fontId="21" fillId="12" borderId="37" xfId="2" applyFont="1" applyFill="1" applyBorder="1" applyAlignment="1">
      <alignment wrapText="1"/>
    </xf>
    <xf numFmtId="0" fontId="21" fillId="12" borderId="38" xfId="2" applyFont="1" applyFill="1" applyBorder="1" applyAlignment="1">
      <alignment horizontal="center" wrapText="1"/>
    </xf>
    <xf numFmtId="0" fontId="21" fillId="12" borderId="39" xfId="2" applyFont="1" applyFill="1" applyBorder="1" applyAlignment="1">
      <alignment horizontal="center" wrapText="1"/>
    </xf>
    <xf numFmtId="0" fontId="21" fillId="12" borderId="40" xfId="2" applyFont="1" applyFill="1" applyBorder="1" applyAlignment="1">
      <alignment horizontal="center" wrapText="1"/>
    </xf>
    <xf numFmtId="0" fontId="21" fillId="12" borderId="37" xfId="2" applyFont="1" applyFill="1" applyBorder="1" applyAlignment="1">
      <alignment horizontal="center" wrapText="1"/>
    </xf>
    <xf numFmtId="0" fontId="29" fillId="12" borderId="25" xfId="2" applyFill="1" applyBorder="1" applyAlignment="1">
      <alignment wrapText="1"/>
    </xf>
    <xf numFmtId="0" fontId="29" fillId="12" borderId="41" xfId="2" applyFill="1" applyBorder="1" applyAlignment="1">
      <alignment wrapText="1"/>
    </xf>
    <xf numFmtId="0" fontId="29" fillId="12" borderId="42" xfId="2" applyFill="1" applyBorder="1" applyAlignment="1">
      <alignment wrapText="1"/>
    </xf>
    <xf numFmtId="0" fontId="21" fillId="12" borderId="37" xfId="2" applyFont="1" applyFill="1" applyBorder="1" applyAlignment="1">
      <alignment horizontal="center" vertical="center" wrapText="1"/>
    </xf>
    <xf numFmtId="0" fontId="29" fillId="12" borderId="43" xfId="2" applyFill="1" applyBorder="1" applyAlignment="1">
      <alignment wrapText="1"/>
    </xf>
    <xf numFmtId="0" fontId="29" fillId="12" borderId="37" xfId="2" applyFill="1" applyBorder="1" applyAlignment="1">
      <alignment horizontal="center" wrapText="1"/>
    </xf>
    <xf numFmtId="0" fontId="29" fillId="12" borderId="15" xfId="2" applyNumberFormat="1" applyFill="1" applyBorder="1" applyAlignment="1">
      <alignment horizontal="center" wrapText="1"/>
    </xf>
    <xf numFmtId="0" fontId="29" fillId="12" borderId="17" xfId="2" applyFill="1" applyBorder="1" applyAlignment="1">
      <alignment horizontal="center" wrapText="1"/>
    </xf>
    <xf numFmtId="0" fontId="29" fillId="12" borderId="23" xfId="2" applyFill="1" applyBorder="1" applyAlignment="1">
      <alignment horizontal="center" wrapText="1"/>
    </xf>
    <xf numFmtId="0" fontId="29" fillId="12" borderId="15" xfId="2" applyFill="1" applyBorder="1" applyAlignment="1">
      <alignment horizontal="center" wrapText="1"/>
    </xf>
    <xf numFmtId="0" fontId="29" fillId="12" borderId="38" xfId="2" applyFill="1" applyBorder="1" applyAlignment="1">
      <alignment wrapText="1"/>
    </xf>
    <xf numFmtId="0" fontId="29" fillId="12" borderId="44" xfId="2" applyFill="1" applyBorder="1" applyAlignment="1">
      <alignment wrapText="1"/>
    </xf>
    <xf numFmtId="0" fontId="29" fillId="12" borderId="45" xfId="2" applyFill="1" applyBorder="1" applyAlignment="1">
      <alignment wrapText="1"/>
    </xf>
    <xf numFmtId="0" fontId="21" fillId="12" borderId="46" xfId="2" applyFont="1" applyFill="1" applyBorder="1" applyAlignment="1">
      <alignment horizontal="center" wrapText="1"/>
    </xf>
    <xf numFmtId="0" fontId="29" fillId="12" borderId="37" xfId="2" applyFill="1" applyBorder="1" applyAlignment="1">
      <alignment horizontal="center" vertical="center" wrapText="1"/>
    </xf>
    <xf numFmtId="0" fontId="29" fillId="12" borderId="39" xfId="2" applyFill="1" applyBorder="1" applyAlignment="1">
      <alignment wrapText="1"/>
    </xf>
    <xf numFmtId="165" fontId="29" fillId="12" borderId="46" xfId="2" applyNumberFormat="1" applyFill="1" applyBorder="1" applyAlignment="1">
      <alignment wrapText="1"/>
    </xf>
    <xf numFmtId="165" fontId="29" fillId="12" borderId="13" xfId="2" applyNumberFormat="1" applyFill="1" applyBorder="1" applyAlignment="1">
      <alignment wrapText="1"/>
    </xf>
    <xf numFmtId="165" fontId="29" fillId="12" borderId="14" xfId="2" applyNumberFormat="1" applyFill="1" applyBorder="1" applyAlignment="1">
      <alignment wrapText="1"/>
    </xf>
    <xf numFmtId="165" fontId="29" fillId="12" borderId="47" xfId="2" applyNumberFormat="1" applyFill="1" applyBorder="1" applyAlignment="1">
      <alignment wrapText="1"/>
    </xf>
    <xf numFmtId="0" fontId="29" fillId="12" borderId="38" xfId="2" applyFill="1" applyBorder="1" applyAlignment="1">
      <alignment horizontal="center" vertical="center" wrapText="1"/>
    </xf>
    <xf numFmtId="165" fontId="29" fillId="12" borderId="48" xfId="2" applyNumberFormat="1" applyFill="1" applyBorder="1" applyAlignment="1">
      <alignment wrapText="1"/>
    </xf>
    <xf numFmtId="0" fontId="29" fillId="12" borderId="49" xfId="2" applyFill="1" applyBorder="1" applyAlignment="1">
      <alignment horizontal="center" vertical="center" wrapText="1"/>
    </xf>
    <xf numFmtId="0" fontId="29" fillId="12" borderId="50" xfId="2" applyFill="1" applyBorder="1" applyAlignment="1">
      <alignment wrapText="1"/>
    </xf>
    <xf numFmtId="165" fontId="29" fillId="12" borderId="50" xfId="2" applyNumberFormat="1" applyFill="1" applyBorder="1" applyAlignment="1">
      <alignment wrapText="1"/>
    </xf>
    <xf numFmtId="165" fontId="29" fillId="12" borderId="51" xfId="2" applyNumberFormat="1" applyFill="1" applyBorder="1" applyAlignment="1">
      <alignment wrapText="1"/>
    </xf>
    <xf numFmtId="165" fontId="29" fillId="12" borderId="11" xfId="2" applyNumberFormat="1" applyFill="1" applyBorder="1" applyAlignment="1">
      <alignment wrapText="1"/>
    </xf>
    <xf numFmtId="0" fontId="29" fillId="12" borderId="35" xfId="2" applyFill="1" applyBorder="1" applyAlignment="1">
      <alignment wrapText="1"/>
    </xf>
    <xf numFmtId="165" fontId="29" fillId="12" borderId="0" xfId="2" applyNumberFormat="1" applyFill="1" applyBorder="1" applyAlignment="1">
      <alignment wrapText="1"/>
    </xf>
    <xf numFmtId="166" fontId="29" fillId="12" borderId="37" xfId="2" applyNumberFormat="1" applyFill="1" applyBorder="1" applyAlignment="1">
      <alignment wrapText="1"/>
    </xf>
    <xf numFmtId="166" fontId="29" fillId="12" borderId="52" xfId="2" applyNumberFormat="1" applyFill="1" applyBorder="1" applyAlignment="1">
      <alignment wrapText="1"/>
    </xf>
    <xf numFmtId="166" fontId="29" fillId="12" borderId="19" xfId="2" applyNumberFormat="1" applyFill="1" applyBorder="1" applyAlignment="1">
      <alignment wrapText="1"/>
    </xf>
    <xf numFmtId="166" fontId="29" fillId="12" borderId="17" xfId="2" applyNumberFormat="1" applyFill="1" applyBorder="1" applyAlignment="1">
      <alignment wrapText="1"/>
    </xf>
    <xf numFmtId="166" fontId="29" fillId="12" borderId="23" xfId="2" applyNumberFormat="1" applyFill="1" applyBorder="1" applyAlignment="1">
      <alignment wrapText="1"/>
    </xf>
    <xf numFmtId="0" fontId="21" fillId="13" borderId="40" xfId="2" applyFont="1" applyFill="1" applyBorder="1" applyAlignment="1">
      <alignment horizontal="center" wrapText="1"/>
    </xf>
    <xf numFmtId="166" fontId="29" fillId="13" borderId="40" xfId="2" applyNumberFormat="1" applyFont="1" applyFill="1" applyBorder="1" applyAlignment="1">
      <alignment wrapText="1"/>
    </xf>
    <xf numFmtId="166" fontId="29" fillId="13" borderId="7" xfId="2" applyNumberFormat="1" applyFont="1" applyFill="1" applyBorder="1" applyAlignment="1">
      <alignment wrapText="1"/>
    </xf>
    <xf numFmtId="166" fontId="29" fillId="13" borderId="2" xfId="2" applyNumberFormat="1" applyFont="1" applyFill="1" applyBorder="1" applyAlignment="1">
      <alignment wrapText="1"/>
    </xf>
    <xf numFmtId="166" fontId="29" fillId="13" borderId="53" xfId="2" applyNumberFormat="1" applyFont="1" applyFill="1" applyBorder="1" applyAlignment="1">
      <alignment wrapText="1"/>
    </xf>
    <xf numFmtId="166" fontId="29" fillId="13" borderId="54" xfId="2" applyNumberFormat="1" applyFont="1" applyFill="1" applyBorder="1" applyAlignment="1">
      <alignment wrapText="1"/>
    </xf>
    <xf numFmtId="166" fontId="29" fillId="13" borderId="55" xfId="2" applyNumberFormat="1" applyFont="1" applyFill="1" applyBorder="1" applyAlignment="1">
      <alignment wrapText="1"/>
    </xf>
    <xf numFmtId="166" fontId="29" fillId="13" borderId="56" xfId="2" applyNumberFormat="1" applyFont="1" applyFill="1" applyBorder="1" applyAlignment="1">
      <alignment wrapText="1"/>
    </xf>
    <xf numFmtId="166" fontId="29" fillId="13" borderId="9" xfId="2" applyNumberFormat="1" applyFont="1" applyFill="1" applyBorder="1" applyAlignment="1">
      <alignment wrapText="1"/>
    </xf>
    <xf numFmtId="0" fontId="29" fillId="13" borderId="55" xfId="2" applyFont="1" applyFill="1" applyBorder="1" applyAlignment="1" applyProtection="1">
      <alignment horizontal="center" wrapText="1"/>
      <protection locked="0"/>
    </xf>
    <xf numFmtId="0" fontId="29" fillId="13" borderId="54" xfId="2" applyNumberFormat="1" applyFont="1" applyFill="1" applyBorder="1" applyAlignment="1" applyProtection="1">
      <alignment horizontal="center" wrapText="1"/>
      <protection locked="0"/>
    </xf>
    <xf numFmtId="0" fontId="29" fillId="13" borderId="2" xfId="2" applyFont="1" applyFill="1" applyBorder="1" applyAlignment="1" applyProtection="1">
      <alignment horizontal="center" wrapText="1"/>
      <protection locked="0"/>
    </xf>
    <xf numFmtId="0" fontId="29" fillId="13" borderId="53" xfId="2" applyFont="1" applyFill="1" applyBorder="1" applyAlignment="1" applyProtection="1">
      <alignment horizontal="center" wrapText="1"/>
      <protection locked="0"/>
    </xf>
    <xf numFmtId="0" fontId="29" fillId="13" borderId="54" xfId="2" applyFont="1" applyFill="1" applyBorder="1" applyAlignment="1" applyProtection="1">
      <alignment horizontal="center" wrapText="1"/>
      <protection locked="0"/>
    </xf>
    <xf numFmtId="0" fontId="29" fillId="13" borderId="40" xfId="2" applyFont="1" applyFill="1" applyBorder="1" applyAlignment="1" applyProtection="1">
      <alignment horizontal="center" wrapText="1"/>
      <protection locked="0"/>
    </xf>
    <xf numFmtId="0" fontId="29" fillId="13" borderId="7" xfId="2" applyFont="1" applyFill="1" applyBorder="1" applyAlignment="1" applyProtection="1">
      <alignment horizontal="center" wrapText="1"/>
      <protection locked="0"/>
    </xf>
    <xf numFmtId="0" fontId="29" fillId="13" borderId="9" xfId="2" applyFont="1" applyFill="1" applyBorder="1" applyAlignment="1" applyProtection="1">
      <alignment horizontal="center" wrapText="1"/>
      <protection locked="0"/>
    </xf>
    <xf numFmtId="164" fontId="23" fillId="13" borderId="37" xfId="2" applyNumberFormat="1" applyFont="1" applyFill="1" applyBorder="1" applyAlignment="1" applyProtection="1">
      <alignment horizontal="right" wrapText="1"/>
      <protection locked="0"/>
    </xf>
    <xf numFmtId="164" fontId="23" fillId="13" borderId="37" xfId="2" applyNumberFormat="1" applyFont="1" applyFill="1" applyBorder="1" applyAlignment="1" applyProtection="1">
      <alignment wrapText="1"/>
      <protection locked="0"/>
    </xf>
    <xf numFmtId="3" fontId="8" fillId="0" borderId="0" xfId="0" applyNumberFormat="1" applyFont="1"/>
    <xf numFmtId="3" fontId="0" fillId="3" borderId="5" xfId="0" applyNumberFormat="1" applyFill="1" applyBorder="1"/>
    <xf numFmtId="0" fontId="2" fillId="11" borderId="3" xfId="0" applyFont="1" applyFill="1" applyBorder="1"/>
    <xf numFmtId="3" fontId="2" fillId="11" borderId="3" xfId="0" applyNumberFormat="1" applyFont="1" applyFill="1" applyBorder="1"/>
    <xf numFmtId="3" fontId="1" fillId="2" borderId="4" xfId="0" applyNumberFormat="1" applyFont="1" applyFill="1" applyBorder="1"/>
    <xf numFmtId="0" fontId="0" fillId="3" borderId="8" xfId="0" applyFill="1" applyBorder="1"/>
    <xf numFmtId="3" fontId="0" fillId="2" borderId="10" xfId="0" applyNumberFormat="1" applyFill="1" applyBorder="1" applyProtection="1">
      <protection locked="0"/>
    </xf>
    <xf numFmtId="0" fontId="2" fillId="11" borderId="2" xfId="0" applyFont="1" applyFill="1" applyBorder="1"/>
    <xf numFmtId="0" fontId="2" fillId="3" borderId="4" xfId="0" applyFont="1" applyFill="1" applyBorder="1"/>
    <xf numFmtId="3" fontId="2" fillId="2" borderId="57" xfId="0" applyNumberFormat="1" applyFont="1" applyFill="1" applyBorder="1"/>
    <xf numFmtId="3" fontId="2" fillId="2" borderId="1" xfId="0" applyNumberFormat="1" applyFont="1" applyFill="1" applyBorder="1"/>
    <xf numFmtId="0" fontId="18" fillId="3" borderId="4" xfId="0" applyFont="1" applyFill="1" applyBorder="1"/>
    <xf numFmtId="3" fontId="24" fillId="2" borderId="1" xfId="0" applyNumberFormat="1" applyFont="1" applyFill="1" applyBorder="1"/>
    <xf numFmtId="0" fontId="2" fillId="5" borderId="12" xfId="0" applyFont="1" applyFill="1" applyBorder="1"/>
    <xf numFmtId="3" fontId="16" fillId="5" borderId="3" xfId="0" applyNumberFormat="1" applyFont="1" applyFill="1" applyBorder="1"/>
    <xf numFmtId="0" fontId="1" fillId="3" borderId="4" xfId="0" applyFont="1" applyFill="1" applyBorder="1"/>
    <xf numFmtId="0" fontId="0" fillId="3" borderId="57" xfId="0" applyFill="1" applyBorder="1"/>
    <xf numFmtId="3" fontId="0" fillId="2" borderId="12" xfId="0" applyNumberFormat="1" applyFill="1" applyBorder="1" applyProtection="1">
      <protection locked="0"/>
    </xf>
    <xf numFmtId="3" fontId="0" fillId="0" borderId="5" xfId="0" applyNumberFormat="1" applyFill="1" applyBorder="1" applyProtection="1"/>
    <xf numFmtId="3" fontId="1" fillId="2" borderId="1" xfId="0" applyNumberFormat="1" applyFont="1" applyFill="1" applyBorder="1"/>
    <xf numFmtId="3" fontId="1" fillId="2" borderId="57" xfId="0" applyNumberFormat="1" applyFont="1" applyFill="1" applyBorder="1"/>
    <xf numFmtId="3" fontId="24" fillId="2" borderId="3" xfId="0" applyNumberFormat="1" applyFont="1" applyFill="1" applyBorder="1"/>
    <xf numFmtId="0" fontId="18" fillId="3" borderId="3" xfId="0" applyFont="1" applyFill="1" applyBorder="1"/>
    <xf numFmtId="3" fontId="24" fillId="2" borderId="5" xfId="0" applyNumberFormat="1" applyFont="1" applyFill="1" applyBorder="1" applyProtection="1"/>
    <xf numFmtId="0" fontId="1" fillId="0" borderId="0" xfId="0" applyFont="1" applyAlignment="1">
      <alignment vertical="top" wrapText="1"/>
    </xf>
    <xf numFmtId="0" fontId="2" fillId="0" borderId="0" xfId="3" applyFont="1"/>
    <xf numFmtId="0" fontId="33" fillId="0" borderId="0" xfId="3" applyFont="1" applyBorder="1" applyProtection="1"/>
    <xf numFmtId="0" fontId="29" fillId="0" borderId="1" xfId="3" applyBorder="1"/>
    <xf numFmtId="0" fontId="29" fillId="0" borderId="0" xfId="3"/>
    <xf numFmtId="0" fontId="33" fillId="0" borderId="6" xfId="3" applyFont="1" applyFill="1" applyBorder="1" applyProtection="1"/>
    <xf numFmtId="0" fontId="33" fillId="0" borderId="0" xfId="3" applyFont="1" applyFill="1" applyBorder="1" applyProtection="1"/>
    <xf numFmtId="0" fontId="29" fillId="0" borderId="0" xfId="3" applyBorder="1"/>
    <xf numFmtId="0" fontId="2" fillId="3" borderId="3" xfId="3" applyFont="1" applyFill="1" applyBorder="1"/>
    <xf numFmtId="0" fontId="1" fillId="3" borderId="3" xfId="3" applyFont="1" applyFill="1" applyBorder="1"/>
    <xf numFmtId="3" fontId="1" fillId="2" borderId="3" xfId="3" applyNumberFormat="1" applyFont="1" applyFill="1" applyBorder="1" applyProtection="1">
      <protection locked="0"/>
    </xf>
    <xf numFmtId="1" fontId="1" fillId="2" borderId="3" xfId="3" applyNumberFormat="1" applyFont="1" applyFill="1" applyBorder="1" applyProtection="1">
      <protection locked="0"/>
    </xf>
    <xf numFmtId="2" fontId="28" fillId="0" borderId="0" xfId="3" applyNumberFormat="1" applyFont="1" applyBorder="1" applyProtection="1"/>
    <xf numFmtId="0" fontId="29" fillId="0" borderId="1" xfId="3" applyFill="1" applyBorder="1"/>
    <xf numFmtId="0" fontId="34" fillId="0" borderId="0" xfId="3" applyFont="1" applyFill="1" applyBorder="1" applyProtection="1">
      <protection locked="0"/>
    </xf>
    <xf numFmtId="0" fontId="35" fillId="0" borderId="0" xfId="3" applyFont="1" applyFill="1" applyBorder="1"/>
    <xf numFmtId="0" fontId="35" fillId="0" borderId="1" xfId="3" applyFont="1" applyFill="1" applyBorder="1"/>
    <xf numFmtId="2" fontId="36" fillId="0" borderId="2" xfId="3" applyNumberFormat="1" applyFont="1" applyFill="1" applyBorder="1" applyAlignment="1" applyProtection="1">
      <alignment horizontal="justify" vertical="top" wrapText="1"/>
    </xf>
    <xf numFmtId="2" fontId="36" fillId="14" borderId="3" xfId="3" applyNumberFormat="1" applyFont="1" applyFill="1" applyBorder="1" applyAlignment="1" applyProtection="1">
      <alignment horizontal="center"/>
    </xf>
    <xf numFmtId="0" fontId="36" fillId="14" borderId="3" xfId="3" applyFont="1" applyFill="1" applyBorder="1" applyAlignment="1">
      <alignment horizontal="center"/>
    </xf>
    <xf numFmtId="0" fontId="34" fillId="0" borderId="0" xfId="3" applyFont="1" applyFill="1" applyBorder="1" applyProtection="1"/>
    <xf numFmtId="0" fontId="33" fillId="0" borderId="0" xfId="3" applyFont="1" applyFill="1" applyBorder="1" applyAlignment="1" applyProtection="1">
      <alignment horizontal="center"/>
    </xf>
    <xf numFmtId="0" fontId="33" fillId="14" borderId="6" xfId="3" applyFont="1" applyFill="1" applyBorder="1" applyProtection="1"/>
    <xf numFmtId="2" fontId="37" fillId="0" borderId="0" xfId="3" applyNumberFormat="1" applyFont="1" applyFill="1" applyBorder="1" applyProtection="1"/>
    <xf numFmtId="0" fontId="37" fillId="0" borderId="0" xfId="3" applyFont="1" applyFill="1" applyBorder="1" applyAlignment="1" applyProtection="1">
      <alignment horizontal="justify" vertical="top" wrapText="1"/>
    </xf>
    <xf numFmtId="0" fontId="29" fillId="0" borderId="0" xfId="3" applyFill="1" applyBorder="1"/>
    <xf numFmtId="2" fontId="37" fillId="0" borderId="0" xfId="3" applyNumberFormat="1" applyFont="1" applyFill="1" applyBorder="1" applyAlignment="1" applyProtection="1">
      <alignment horizontal="justify" vertical="top" wrapText="1"/>
    </xf>
    <xf numFmtId="2" fontId="37" fillId="0" borderId="0" xfId="3" applyNumberFormat="1" applyFont="1" applyFill="1" applyBorder="1" applyAlignment="1" applyProtection="1">
      <alignment horizontal="center"/>
    </xf>
    <xf numFmtId="0" fontId="38" fillId="0" borderId="1" xfId="3" applyFont="1" applyFill="1" applyBorder="1"/>
    <xf numFmtId="2" fontId="36" fillId="0" borderId="3" xfId="3" applyNumberFormat="1" applyFont="1" applyBorder="1" applyProtection="1"/>
    <xf numFmtId="2" fontId="33" fillId="0" borderId="0" xfId="3" applyNumberFormat="1" applyFont="1" applyFill="1" applyBorder="1" applyProtection="1">
      <protection locked="0"/>
    </xf>
    <xf numFmtId="2" fontId="30" fillId="0" borderId="1" xfId="3" applyNumberFormat="1" applyFont="1" applyFill="1" applyBorder="1"/>
    <xf numFmtId="2" fontId="33" fillId="0" borderId="0" xfId="3" applyNumberFormat="1" applyFont="1" applyFill="1" applyBorder="1" applyProtection="1"/>
    <xf numFmtId="2" fontId="32" fillId="0" borderId="1" xfId="3" applyNumberFormat="1" applyFont="1" applyFill="1" applyBorder="1"/>
    <xf numFmtId="0" fontId="33" fillId="0" borderId="6" xfId="3" applyFont="1" applyBorder="1" applyProtection="1"/>
    <xf numFmtId="2" fontId="36" fillId="0" borderId="3" xfId="3" applyNumberFormat="1" applyFont="1" applyBorder="1" applyAlignment="1" applyProtection="1">
      <alignment horizontal="justify" vertical="top" wrapText="1"/>
    </xf>
    <xf numFmtId="1" fontId="39" fillId="0" borderId="3" xfId="3" applyNumberFormat="1" applyFont="1" applyBorder="1" applyAlignment="1" applyProtection="1">
      <alignment horizontal="justify" vertical="top" wrapText="1"/>
    </xf>
    <xf numFmtId="0" fontId="39" fillId="0" borderId="3" xfId="3" applyFont="1" applyBorder="1" applyAlignment="1" applyProtection="1">
      <alignment horizontal="justify" vertical="top" wrapText="1"/>
    </xf>
    <xf numFmtId="11" fontId="39" fillId="0" borderId="3" xfId="3" applyNumberFormat="1" applyFont="1" applyBorder="1" applyAlignment="1" applyProtection="1">
      <alignment horizontal="justify" vertical="top" wrapText="1"/>
    </xf>
    <xf numFmtId="0" fontId="39" fillId="0" borderId="3" xfId="3" applyFont="1" applyBorder="1" applyProtection="1"/>
    <xf numFmtId="0" fontId="30" fillId="14" borderId="6" xfId="3" applyFont="1" applyFill="1" applyBorder="1"/>
    <xf numFmtId="0" fontId="30" fillId="14" borderId="0" xfId="3" applyFont="1" applyFill="1" applyBorder="1"/>
    <xf numFmtId="0" fontId="30" fillId="14" borderId="1" xfId="3" applyFont="1" applyFill="1" applyBorder="1"/>
    <xf numFmtId="0" fontId="30" fillId="14" borderId="6" xfId="3" applyFont="1" applyFill="1" applyBorder="1" applyProtection="1">
      <protection hidden="1"/>
    </xf>
    <xf numFmtId="0" fontId="30" fillId="14" borderId="0" xfId="3" applyFont="1" applyFill="1" applyBorder="1" applyProtection="1">
      <protection hidden="1"/>
    </xf>
    <xf numFmtId="0" fontId="30" fillId="14" borderId="1" xfId="3" applyFont="1" applyFill="1" applyBorder="1" applyProtection="1">
      <protection hidden="1"/>
    </xf>
    <xf numFmtId="0" fontId="40" fillId="14" borderId="6" xfId="3" applyFont="1" applyFill="1" applyBorder="1" applyProtection="1">
      <protection hidden="1"/>
    </xf>
    <xf numFmtId="0" fontId="40" fillId="14" borderId="0" xfId="3" applyFont="1" applyFill="1" applyBorder="1" applyProtection="1">
      <protection hidden="1"/>
    </xf>
    <xf numFmtId="0" fontId="41" fillId="14" borderId="0" xfId="3" applyFont="1" applyFill="1" applyBorder="1" applyProtection="1">
      <protection hidden="1"/>
    </xf>
    <xf numFmtId="0" fontId="42" fillId="14" borderId="6" xfId="3" applyFont="1" applyFill="1" applyBorder="1" applyAlignment="1" applyProtection="1">
      <alignment horizontal="justify" vertical="top" wrapText="1"/>
      <protection hidden="1"/>
    </xf>
    <xf numFmtId="0" fontId="42" fillId="14" borderId="0" xfId="3" applyFont="1" applyFill="1" applyBorder="1" applyAlignment="1" applyProtection="1">
      <alignment horizontal="justify" vertical="top" wrapText="1"/>
      <protection hidden="1"/>
    </xf>
    <xf numFmtId="0" fontId="42" fillId="14" borderId="1" xfId="3" applyFont="1" applyFill="1" applyBorder="1" applyAlignment="1" applyProtection="1">
      <alignment horizontal="justify" vertical="top" wrapText="1"/>
      <protection hidden="1"/>
    </xf>
    <xf numFmtId="11" fontId="42" fillId="14" borderId="0" xfId="3" applyNumberFormat="1" applyFont="1" applyFill="1" applyBorder="1" applyAlignment="1" applyProtection="1">
      <alignment horizontal="justify" vertical="top" wrapText="1"/>
      <protection hidden="1"/>
    </xf>
    <xf numFmtId="11" fontId="42" fillId="14" borderId="1" xfId="3" applyNumberFormat="1" applyFont="1" applyFill="1" applyBorder="1" applyAlignment="1" applyProtection="1">
      <alignment horizontal="justify" vertical="top" wrapText="1"/>
      <protection hidden="1"/>
    </xf>
    <xf numFmtId="0" fontId="42" fillId="14" borderId="7" xfId="3" applyFont="1" applyFill="1" applyBorder="1" applyAlignment="1" applyProtection="1">
      <alignment horizontal="justify" vertical="top" wrapText="1"/>
      <protection hidden="1"/>
    </xf>
    <xf numFmtId="0" fontId="42" fillId="14" borderId="13" xfId="3" applyFont="1" applyFill="1" applyBorder="1" applyAlignment="1" applyProtection="1">
      <alignment horizontal="justify" vertical="top" wrapText="1"/>
      <protection hidden="1"/>
    </xf>
    <xf numFmtId="11" fontId="42" fillId="14" borderId="13" xfId="3" applyNumberFormat="1" applyFont="1" applyFill="1" applyBorder="1" applyAlignment="1" applyProtection="1">
      <alignment horizontal="justify" vertical="top" wrapText="1"/>
      <protection hidden="1"/>
    </xf>
    <xf numFmtId="11" fontId="42" fillId="14" borderId="10" xfId="3" applyNumberFormat="1" applyFont="1" applyFill="1" applyBorder="1" applyAlignment="1" applyProtection="1">
      <alignment horizontal="justify" vertical="top" wrapText="1"/>
      <protection hidden="1"/>
    </xf>
    <xf numFmtId="0" fontId="29" fillId="0" borderId="0" xfId="3" applyFill="1"/>
    <xf numFmtId="0" fontId="1" fillId="0" borderId="0" xfId="0" applyFont="1" applyAlignment="1">
      <alignment wrapText="1"/>
    </xf>
    <xf numFmtId="0" fontId="18" fillId="0" borderId="0" xfId="0" applyFont="1"/>
    <xf numFmtId="0" fontId="1" fillId="0" borderId="0" xfId="0" applyFont="1"/>
    <xf numFmtId="0" fontId="1" fillId="15" borderId="3" xfId="0" applyFont="1" applyFill="1" applyBorder="1" applyAlignment="1">
      <alignment wrapText="1"/>
    </xf>
    <xf numFmtId="0" fontId="2" fillId="15" borderId="3" xfId="0" applyFont="1" applyFill="1" applyBorder="1" applyAlignment="1">
      <alignment horizontal="center" wrapText="1"/>
    </xf>
    <xf numFmtId="0" fontId="1" fillId="0" borderId="3" xfId="0" applyFont="1" applyBorder="1" applyAlignment="1">
      <alignment vertical="top" wrapText="1"/>
    </xf>
    <xf numFmtId="0" fontId="1" fillId="0" borderId="3" xfId="0" applyFont="1" applyBorder="1" applyAlignment="1">
      <alignment horizontal="center" vertical="top" wrapText="1"/>
    </xf>
    <xf numFmtId="3" fontId="1" fillId="0" borderId="3" xfId="0" applyNumberFormat="1" applyFont="1" applyBorder="1" applyAlignment="1">
      <alignment horizontal="center" vertical="top" wrapText="1"/>
    </xf>
    <xf numFmtId="0" fontId="1" fillId="0" borderId="0" xfId="0" applyFont="1" applyAlignment="1">
      <alignment vertical="top"/>
    </xf>
    <xf numFmtId="0" fontId="19" fillId="0" borderId="0" xfId="0" applyFont="1" applyAlignment="1">
      <alignment wrapText="1"/>
    </xf>
    <xf numFmtId="0" fontId="20" fillId="0" borderId="0" xfId="0" applyFont="1" applyAlignment="1">
      <alignment wrapText="1"/>
    </xf>
    <xf numFmtId="0" fontId="1" fillId="0" borderId="0" xfId="0" applyFont="1" applyAlignment="1">
      <alignment wrapText="1"/>
    </xf>
    <xf numFmtId="0" fontId="0" fillId="0" borderId="0" xfId="0" applyAlignment="1">
      <alignment wrapText="1"/>
    </xf>
    <xf numFmtId="0" fontId="2" fillId="0" borderId="0" xfId="0" applyFont="1" applyAlignment="1">
      <alignment vertical="top" wrapText="1"/>
    </xf>
    <xf numFmtId="0" fontId="0" fillId="0" borderId="0" xfId="0" applyAlignment="1">
      <alignment vertical="top" wrapText="1"/>
    </xf>
    <xf numFmtId="0" fontId="1" fillId="0" borderId="0" xfId="0" applyFont="1" applyAlignment="1">
      <alignment vertical="top" wrapText="1"/>
    </xf>
    <xf numFmtId="0" fontId="6" fillId="0" borderId="0" xfId="1" applyAlignment="1" applyProtection="1">
      <alignment horizontal="left"/>
    </xf>
    <xf numFmtId="166" fontId="22" fillId="0" borderId="43" xfId="2" applyNumberFormat="1" applyFont="1" applyBorder="1" applyAlignment="1">
      <alignment wrapText="1"/>
    </xf>
    <xf numFmtId="166" fontId="22" fillId="0" borderId="31" xfId="2" applyNumberFormat="1" applyFont="1" applyBorder="1" applyAlignment="1">
      <alignment wrapText="1"/>
    </xf>
    <xf numFmtId="0" fontId="29" fillId="0" borderId="31" xfId="2" applyBorder="1" applyAlignment="1">
      <alignment wrapText="1"/>
    </xf>
    <xf numFmtId="0" fontId="29" fillId="12" borderId="37" xfId="2" applyFill="1" applyBorder="1" applyAlignment="1">
      <alignment wrapText="1"/>
    </xf>
    <xf numFmtId="0" fontId="29" fillId="12" borderId="49" xfId="2" applyFill="1" applyBorder="1" applyAlignment="1">
      <alignment horizontal="center" vertical="center" wrapText="1"/>
    </xf>
    <xf numFmtId="0" fontId="29" fillId="12" borderId="21" xfId="2" applyFill="1" applyBorder="1" applyAlignment="1">
      <alignment horizontal="center" vertical="center" wrapText="1"/>
    </xf>
    <xf numFmtId="0" fontId="29" fillId="12" borderId="58" xfId="2" applyFill="1" applyBorder="1" applyAlignment="1">
      <alignment horizontal="center" vertical="center" wrapText="1"/>
    </xf>
    <xf numFmtId="166" fontId="29" fillId="12" borderId="49" xfId="2" applyNumberFormat="1" applyFill="1" applyBorder="1" applyAlignment="1">
      <alignment wrapText="1"/>
    </xf>
    <xf numFmtId="166" fontId="29" fillId="12" borderId="21" xfId="2" applyNumberFormat="1" applyFill="1" applyBorder="1" applyAlignment="1">
      <alignment wrapText="1"/>
    </xf>
    <xf numFmtId="166" fontId="29" fillId="12" borderId="58" xfId="2" applyNumberFormat="1" applyFill="1" applyBorder="1" applyAlignment="1">
      <alignment wrapText="1"/>
    </xf>
    <xf numFmtId="0" fontId="29" fillId="12" borderId="38" xfId="2" applyFill="1" applyBorder="1" applyAlignment="1">
      <alignment wrapText="1"/>
    </xf>
    <xf numFmtId="0" fontId="29" fillId="12" borderId="62" xfId="2" applyFill="1" applyBorder="1" applyAlignment="1">
      <alignment wrapText="1"/>
    </xf>
    <xf numFmtId="0" fontId="21" fillId="12" borderId="63" xfId="2" applyFont="1" applyFill="1" applyBorder="1" applyAlignment="1">
      <alignment horizontal="center" wrapText="1"/>
    </xf>
    <xf numFmtId="0" fontId="21" fillId="12" borderId="64" xfId="2" applyFont="1" applyFill="1" applyBorder="1" applyAlignment="1">
      <alignment horizontal="center" wrapText="1"/>
    </xf>
    <xf numFmtId="0" fontId="21" fillId="12" borderId="43" xfId="2" applyFont="1" applyFill="1" applyBorder="1" applyAlignment="1">
      <alignment horizontal="center" wrapText="1"/>
    </xf>
    <xf numFmtId="0" fontId="29" fillId="12" borderId="65" xfId="2" applyFill="1" applyBorder="1" applyAlignment="1">
      <alignment wrapText="1"/>
    </xf>
    <xf numFmtId="0" fontId="31" fillId="12" borderId="49" xfId="2" applyFont="1" applyFill="1" applyBorder="1" applyAlignment="1">
      <alignment horizontal="center" vertical="center" wrapText="1"/>
    </xf>
    <xf numFmtId="0" fontId="31" fillId="12" borderId="21" xfId="2" applyFont="1" applyFill="1" applyBorder="1" applyAlignment="1">
      <alignment horizontal="center" vertical="center" wrapText="1"/>
    </xf>
    <xf numFmtId="0" fontId="29" fillId="12" borderId="21" xfId="2" applyFill="1" applyBorder="1" applyAlignment="1">
      <alignment wrapText="1"/>
    </xf>
    <xf numFmtId="0" fontId="29" fillId="12" borderId="52" xfId="2" applyFill="1" applyBorder="1" applyAlignment="1">
      <alignment wrapText="1"/>
    </xf>
    <xf numFmtId="0" fontId="31" fillId="12" borderId="21" xfId="2" applyFont="1" applyFill="1" applyBorder="1" applyAlignment="1">
      <alignment wrapText="1"/>
    </xf>
    <xf numFmtId="0" fontId="31" fillId="12" borderId="58" xfId="2" applyFont="1" applyFill="1" applyBorder="1" applyAlignment="1">
      <alignment wrapText="1"/>
    </xf>
    <xf numFmtId="0" fontId="29" fillId="12" borderId="58" xfId="2" applyFill="1" applyBorder="1" applyAlignment="1">
      <alignment wrapText="1"/>
    </xf>
    <xf numFmtId="0" fontId="29" fillId="12" borderId="43" xfId="2" applyFill="1" applyBorder="1" applyAlignment="1">
      <alignment horizontal="center" vertical="center" wrapText="1"/>
    </xf>
    <xf numFmtId="0" fontId="29" fillId="12" borderId="31" xfId="2" applyFill="1" applyBorder="1" applyAlignment="1">
      <alignment horizontal="center" vertical="center" wrapText="1"/>
    </xf>
    <xf numFmtId="0" fontId="29" fillId="12" borderId="32" xfId="2" applyFill="1" applyBorder="1" applyAlignment="1">
      <alignment horizontal="center" vertical="center" wrapText="1"/>
    </xf>
    <xf numFmtId="166" fontId="29" fillId="12" borderId="19" xfId="2" applyNumberFormat="1" applyFill="1" applyBorder="1" applyAlignment="1">
      <alignment wrapText="1"/>
    </xf>
    <xf numFmtId="166" fontId="29" fillId="12" borderId="52" xfId="2" applyNumberFormat="1" applyFill="1" applyBorder="1" applyAlignment="1">
      <alignment wrapText="1"/>
    </xf>
    <xf numFmtId="0" fontId="21" fillId="12" borderId="43" xfId="2" applyFont="1" applyFill="1" applyBorder="1" applyAlignment="1">
      <alignment horizontal="center" vertical="center" wrapText="1"/>
    </xf>
    <xf numFmtId="0" fontId="21" fillId="12" borderId="31" xfId="2" applyFont="1" applyFill="1" applyBorder="1" applyAlignment="1">
      <alignment horizontal="center" vertical="center" wrapText="1"/>
    </xf>
    <xf numFmtId="0" fontId="21" fillId="12" borderId="32" xfId="2" applyFont="1" applyFill="1" applyBorder="1" applyAlignment="1">
      <alignment horizontal="center" vertical="center" wrapText="1"/>
    </xf>
    <xf numFmtId="0" fontId="31" fillId="12" borderId="58" xfId="2" applyFont="1" applyFill="1" applyBorder="1" applyAlignment="1">
      <alignment horizontal="center" vertical="center" wrapText="1"/>
    </xf>
    <xf numFmtId="0" fontId="21" fillId="12" borderId="59" xfId="2" applyFont="1" applyFill="1" applyBorder="1" applyAlignment="1">
      <alignment horizontal="center" vertical="center" wrapText="1"/>
    </xf>
    <xf numFmtId="0" fontId="21" fillId="12" borderId="60" xfId="2" applyFont="1" applyFill="1" applyBorder="1" applyAlignment="1">
      <alignment horizontal="center" vertical="center" wrapText="1"/>
    </xf>
    <xf numFmtId="0" fontId="21" fillId="12" borderId="61" xfId="2" applyFont="1" applyFill="1" applyBorder="1" applyAlignment="1">
      <alignment horizontal="center" vertical="center" wrapText="1"/>
    </xf>
    <xf numFmtId="0" fontId="21" fillId="12" borderId="49" xfId="2" applyFont="1" applyFill="1" applyBorder="1" applyAlignment="1">
      <alignment horizontal="center" vertical="center" wrapText="1"/>
    </xf>
    <xf numFmtId="0" fontId="21" fillId="12" borderId="21" xfId="2" applyFont="1" applyFill="1" applyBorder="1" applyAlignment="1">
      <alignment horizontal="center" vertical="center" wrapText="1"/>
    </xf>
    <xf numFmtId="0" fontId="21" fillId="12" borderId="58" xfId="2" applyFont="1" applyFill="1" applyBorder="1" applyAlignment="1">
      <alignment horizontal="center" vertical="center" wrapText="1"/>
    </xf>
    <xf numFmtId="0" fontId="31" fillId="12" borderId="37" xfId="2" applyFont="1" applyFill="1" applyBorder="1" applyAlignment="1">
      <alignment horizontal="center" vertical="center" wrapText="1"/>
    </xf>
    <xf numFmtId="0" fontId="29" fillId="12" borderId="37" xfId="2" applyFill="1" applyBorder="1" applyAlignment="1">
      <alignment horizontal="center" vertical="center" wrapText="1"/>
    </xf>
    <xf numFmtId="166" fontId="29" fillId="12" borderId="37" xfId="2" applyNumberFormat="1" applyFill="1" applyBorder="1" applyAlignment="1">
      <alignment wrapText="1"/>
    </xf>
    <xf numFmtId="0" fontId="2" fillId="3" borderId="2" xfId="3" applyFont="1" applyFill="1" applyBorder="1" applyAlignment="1">
      <alignment horizontal="center"/>
    </xf>
    <xf numFmtId="0" fontId="2" fillId="3" borderId="5" xfId="3" applyFont="1" applyFill="1" applyBorder="1" applyAlignment="1">
      <alignment horizontal="center"/>
    </xf>
    <xf numFmtId="0" fontId="37" fillId="0" borderId="0" xfId="3" applyFont="1" applyFill="1" applyBorder="1" applyAlignment="1" applyProtection="1">
      <alignment horizontal="center" wrapText="1"/>
    </xf>
    <xf numFmtId="0" fontId="37" fillId="0" borderId="1" xfId="3" applyFont="1" applyFill="1" applyBorder="1" applyAlignment="1" applyProtection="1">
      <alignment horizontal="center" wrapText="1"/>
    </xf>
    <xf numFmtId="0" fontId="43" fillId="12" borderId="2" xfId="3" applyFont="1" applyFill="1" applyBorder="1" applyAlignment="1" applyProtection="1">
      <alignment horizontal="center" vertical="top" wrapText="1"/>
    </xf>
    <xf numFmtId="0" fontId="43" fillId="12" borderId="5" xfId="3" applyFont="1" applyFill="1" applyBorder="1" applyAlignment="1" applyProtection="1">
      <alignment horizontal="center" vertical="top" wrapText="1"/>
    </xf>
    <xf numFmtId="0" fontId="1" fillId="0" borderId="0" xfId="0" applyFont="1" applyAlignment="1">
      <alignment horizontal="left" vertical="top" wrapText="1"/>
    </xf>
    <xf numFmtId="0" fontId="5" fillId="0" borderId="7" xfId="0" applyNumberFormat="1" applyFont="1" applyFill="1" applyBorder="1" applyAlignment="1">
      <alignment horizontal="left" wrapText="1"/>
    </xf>
    <xf numFmtId="0" fontId="3" fillId="0" borderId="10" xfId="0" applyNumberFormat="1" applyFont="1" applyFill="1" applyBorder="1" applyAlignment="1">
      <alignment horizontal="left" wrapText="1"/>
    </xf>
  </cellXfs>
  <cellStyles count="4">
    <cellStyle name="Hyperlink" xfId="1" builtinId="8"/>
    <cellStyle name="Normal" xfId="0" builtinId="0"/>
    <cellStyle name="Normal 2" xfId="2"/>
    <cellStyle name="Normal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2</xdr:row>
          <xdr:rowOff>60960</xdr:rowOff>
        </xdr:from>
        <xdr:to>
          <xdr:col>0</xdr:col>
          <xdr:colOff>1508760</xdr:colOff>
          <xdr:row>5</xdr:row>
          <xdr:rowOff>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B00-000002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9.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hyperlink" Target="http://docs.genesys.com/Special:Repository/UCS_Sizing_Calculator_-_910.xlsx?id=40f77bbe-613e-4843-a2d6-5cf005d0d64e" TargetMode="External"/><Relationship Id="rId2" Type="http://schemas.openxmlformats.org/officeDocument/2006/relationships/hyperlink" Target="http://docs.genesys.com/Special:Repository/GIMSize_81.xlsx?id=b1327462-98f2-46ba-b022-791ca359afb9" TargetMode="External"/><Relationship Id="rId1" Type="http://schemas.openxmlformats.org/officeDocument/2006/relationships/hyperlink" Target="https://docs.genesys.com/Documentation/GIM" TargetMode="External"/><Relationship Id="rId4" Type="http://schemas.openxmlformats.org/officeDocument/2006/relationships/hyperlink" Target="https://docs.genesys.com/Documentation/UCS" TargetMode="External"/></Relationships>
</file>

<file path=xl/worksheets/_rels/sheet1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hyperlink" Target="http://docs.genesys.com/Special:Repository/GIMSize_81.xlsx?id=b1327462-98f2-46ba-b022-791ca359afb9" TargetMode="External"/><Relationship Id="rId1" Type="http://schemas.openxmlformats.org/officeDocument/2006/relationships/hyperlink" Target="https://docs.genesys.com/Documentation/GI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docs.genesys.com/Special:Repository/85gkc_sizing.xlsx?id=8db6646c-9105-458a-a316-2087220ef04d" TargetMode="External"/><Relationship Id="rId1" Type="http://schemas.openxmlformats.org/officeDocument/2006/relationships/hyperlink" Target="https://docs.genesys.com/Documentation/KC"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docs.genesys.com/Documentation/ICON" TargetMode="External"/><Relationship Id="rId1" Type="http://schemas.openxmlformats.org/officeDocument/2006/relationships/hyperlink" Target="http://docs.genesys.com/Special:Repository/ICONSize_81.xlsx?id=9ccbdb32-0c07-4663-8bd3-5130189e3a4f"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13"/>
  <sheetViews>
    <sheetView tabSelected="1" workbookViewId="0">
      <selection activeCell="A13" sqref="A13:L13"/>
    </sheetView>
  </sheetViews>
  <sheetFormatPr defaultRowHeight="13.2" x14ac:dyDescent="0.25"/>
  <cols>
    <col min="1" max="1" width="137.109375" customWidth="1"/>
  </cols>
  <sheetData>
    <row r="1" spans="1:12" ht="17.399999999999999" x14ac:dyDescent="0.3">
      <c r="A1" s="316" t="s">
        <v>661</v>
      </c>
      <c r="B1" s="317"/>
      <c r="C1" s="317"/>
      <c r="D1" s="317"/>
      <c r="E1" s="317"/>
      <c r="F1" s="317"/>
      <c r="G1" s="317"/>
      <c r="H1" s="317"/>
      <c r="I1" s="317"/>
      <c r="J1" s="317"/>
      <c r="K1" s="317"/>
      <c r="L1" s="317"/>
    </row>
    <row r="3" spans="1:12" s="150" customFormat="1" ht="12.75" customHeight="1" x14ac:dyDescent="0.25">
      <c r="A3" s="248" t="s">
        <v>662</v>
      </c>
    </row>
    <row r="5" spans="1:12" ht="26.4" x14ac:dyDescent="0.25">
      <c r="A5" s="248" t="s">
        <v>663</v>
      </c>
    </row>
    <row r="7" spans="1:12" ht="72.75" customHeight="1" x14ac:dyDescent="0.25">
      <c r="A7" s="248" t="s">
        <v>664</v>
      </c>
    </row>
    <row r="8" spans="1:12" ht="41.25" customHeight="1" x14ac:dyDescent="0.25">
      <c r="A8" s="151" t="s">
        <v>616</v>
      </c>
    </row>
    <row r="9" spans="1:12" ht="41.25" customHeight="1" x14ac:dyDescent="0.25">
      <c r="A9" s="248" t="s">
        <v>617</v>
      </c>
    </row>
    <row r="10" spans="1:12" s="150" customFormat="1" ht="16.649999999999999" customHeight="1" x14ac:dyDescent="0.25">
      <c r="A10" s="248" t="s">
        <v>410</v>
      </c>
    </row>
    <row r="11" spans="1:12" ht="18.75" customHeight="1" x14ac:dyDescent="0.25">
      <c r="A11" s="248" t="s">
        <v>618</v>
      </c>
    </row>
    <row r="12" spans="1:12" x14ac:dyDescent="0.25">
      <c r="A12" s="150"/>
    </row>
    <row r="13" spans="1:12" x14ac:dyDescent="0.25">
      <c r="A13" s="318" t="s">
        <v>669</v>
      </c>
      <c r="B13" s="319"/>
      <c r="C13" s="319"/>
      <c r="D13" s="319"/>
      <c r="E13" s="319"/>
      <c r="F13" s="319"/>
      <c r="G13" s="319"/>
      <c r="H13" s="319"/>
      <c r="I13" s="319"/>
      <c r="J13" s="319"/>
      <c r="K13" s="319"/>
      <c r="L13" s="319"/>
    </row>
  </sheetData>
  <mergeCells count="2">
    <mergeCell ref="A1:L1"/>
    <mergeCell ref="A13:L13"/>
  </mergeCells>
  <pageMargins left="0.7" right="0.7" top="0.75" bottom="0.75" header="0.3" footer="0.3"/>
  <pageSetup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2:D20"/>
  <sheetViews>
    <sheetView workbookViewId="0"/>
  </sheetViews>
  <sheetFormatPr defaultRowHeight="13.2" x14ac:dyDescent="0.25"/>
  <cols>
    <col min="1" max="1" width="44.44140625" style="307" customWidth="1"/>
    <col min="2" max="2" width="25.44140625" style="307" customWidth="1"/>
    <col min="3" max="3" width="26.33203125" style="307" customWidth="1"/>
    <col min="4" max="4" width="9.109375" style="309"/>
  </cols>
  <sheetData>
    <row r="2" spans="1:3" ht="15.6" x14ac:dyDescent="0.3">
      <c r="A2" s="308" t="s">
        <v>619</v>
      </c>
    </row>
    <row r="3" spans="1:3" s="309" customFormat="1" x14ac:dyDescent="0.25">
      <c r="B3" s="307"/>
      <c r="C3" s="307"/>
    </row>
    <row r="4" spans="1:3" s="309" customFormat="1" x14ac:dyDescent="0.25">
      <c r="A4" s="309" t="s">
        <v>620</v>
      </c>
      <c r="B4" s="307"/>
      <c r="C4" s="307"/>
    </row>
    <row r="5" spans="1:3" s="309" customFormat="1" x14ac:dyDescent="0.25">
      <c r="B5" s="307"/>
      <c r="C5" s="307"/>
    </row>
    <row r="6" spans="1:3" ht="21" customHeight="1" x14ac:dyDescent="0.25">
      <c r="A6" s="310"/>
      <c r="B6" s="311" t="s">
        <v>621</v>
      </c>
      <c r="C6" s="311" t="s">
        <v>622</v>
      </c>
    </row>
    <row r="7" spans="1:3" ht="16.5" customHeight="1" x14ac:dyDescent="0.25">
      <c r="A7" s="312" t="s">
        <v>623</v>
      </c>
      <c r="B7" s="313">
        <v>1000</v>
      </c>
      <c r="C7" s="314">
        <v>21000</v>
      </c>
    </row>
    <row r="8" spans="1:3" ht="16.5" customHeight="1" x14ac:dyDescent="0.25">
      <c r="A8" s="312" t="s">
        <v>624</v>
      </c>
      <c r="B8" s="313">
        <v>2</v>
      </c>
      <c r="C8" s="313">
        <v>3</v>
      </c>
    </row>
    <row r="9" spans="1:3" ht="16.5" customHeight="1" x14ac:dyDescent="0.25">
      <c r="A9" s="312" t="s">
        <v>625</v>
      </c>
      <c r="B9" s="313">
        <v>500</v>
      </c>
      <c r="C9" s="313">
        <v>700</v>
      </c>
    </row>
    <row r="10" spans="1:3" ht="16.5" customHeight="1" x14ac:dyDescent="0.25">
      <c r="A10" s="312" t="s">
        <v>626</v>
      </c>
      <c r="B10" s="313">
        <v>1000</v>
      </c>
      <c r="C10" s="314">
        <v>21000</v>
      </c>
    </row>
    <row r="11" spans="1:3" ht="16.5" customHeight="1" x14ac:dyDescent="0.25">
      <c r="A11" s="312" t="s">
        <v>627</v>
      </c>
      <c r="B11" s="313" t="s">
        <v>628</v>
      </c>
      <c r="C11" s="313" t="s">
        <v>628</v>
      </c>
    </row>
    <row r="12" spans="1:3" ht="26.25" customHeight="1" x14ac:dyDescent="0.25">
      <c r="A12" s="312" t="s">
        <v>629</v>
      </c>
      <c r="B12" s="313" t="s">
        <v>630</v>
      </c>
      <c r="C12" s="313" t="s">
        <v>631</v>
      </c>
    </row>
    <row r="13" spans="1:3" ht="75" customHeight="1" x14ac:dyDescent="0.25">
      <c r="A13" s="312" t="s">
        <v>632</v>
      </c>
      <c r="B13" s="312" t="s">
        <v>633</v>
      </c>
      <c r="C13" s="312" t="s">
        <v>634</v>
      </c>
    </row>
    <row r="14" spans="1:3" ht="40.5" customHeight="1" x14ac:dyDescent="0.25">
      <c r="A14" s="312" t="s">
        <v>635</v>
      </c>
      <c r="B14" s="312" t="s">
        <v>636</v>
      </c>
      <c r="C14" s="312" t="s">
        <v>637</v>
      </c>
    </row>
    <row r="15" spans="1:3" ht="19.5" customHeight="1" x14ac:dyDescent="0.25">
      <c r="A15" s="312" t="s">
        <v>638</v>
      </c>
      <c r="B15" s="312" t="s">
        <v>639</v>
      </c>
      <c r="C15" s="312" t="s">
        <v>640</v>
      </c>
    </row>
    <row r="16" spans="1:3" ht="21" customHeight="1" x14ac:dyDescent="0.25">
      <c r="A16" s="312" t="s">
        <v>641</v>
      </c>
      <c r="B16" s="312" t="s">
        <v>642</v>
      </c>
      <c r="C16" s="312" t="s">
        <v>643</v>
      </c>
    </row>
    <row r="17" spans="1:4" ht="60" customHeight="1" x14ac:dyDescent="0.25">
      <c r="A17" s="312" t="s">
        <v>644</v>
      </c>
      <c r="B17" s="312" t="s">
        <v>645</v>
      </c>
      <c r="C17" s="312" t="s">
        <v>645</v>
      </c>
    </row>
    <row r="18" spans="1:4" x14ac:dyDescent="0.25">
      <c r="A18" s="248"/>
      <c r="B18" s="248"/>
      <c r="C18" s="248"/>
    </row>
    <row r="19" spans="1:4" s="152" customFormat="1" ht="48.75" customHeight="1" x14ac:dyDescent="0.25">
      <c r="A19" s="371" t="s">
        <v>646</v>
      </c>
      <c r="B19" s="371"/>
      <c r="C19" s="371"/>
      <c r="D19" s="315"/>
    </row>
    <row r="20" spans="1:4" s="152" customFormat="1" ht="41.25" customHeight="1" x14ac:dyDescent="0.25">
      <c r="A20" s="322" t="s">
        <v>647</v>
      </c>
      <c r="B20" s="322"/>
      <c r="C20" s="322"/>
      <c r="D20" s="315"/>
    </row>
  </sheetData>
  <mergeCells count="2">
    <mergeCell ref="A19:C19"/>
    <mergeCell ref="A20:C2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C14"/>
  <sheetViews>
    <sheetView workbookViewId="0"/>
  </sheetViews>
  <sheetFormatPr defaultRowHeight="13.2" x14ac:dyDescent="0.25"/>
  <cols>
    <col min="1" max="1" width="41.33203125" customWidth="1"/>
    <col min="2" max="2" width="15.6640625" customWidth="1"/>
    <col min="3" max="3" width="21.33203125" customWidth="1"/>
    <col min="4" max="4" width="10.109375" customWidth="1"/>
  </cols>
  <sheetData>
    <row r="1" spans="1:3" x14ac:dyDescent="0.25">
      <c r="A1" s="50" t="s">
        <v>404</v>
      </c>
      <c r="B1" s="26" t="s">
        <v>108</v>
      </c>
    </row>
    <row r="2" spans="1:3" ht="92.4" x14ac:dyDescent="0.25">
      <c r="A2" s="7" t="s">
        <v>279</v>
      </c>
      <c r="B2" s="8"/>
    </row>
    <row r="3" spans="1:3" x14ac:dyDescent="0.25">
      <c r="A3" s="3"/>
      <c r="B3" s="8"/>
    </row>
    <row r="4" spans="1:3" x14ac:dyDescent="0.25">
      <c r="A4" s="11"/>
      <c r="B4" s="8"/>
    </row>
    <row r="5" spans="1:3" x14ac:dyDescent="0.25">
      <c r="A5" s="4" t="s">
        <v>109</v>
      </c>
      <c r="B5" s="12" t="s">
        <v>0</v>
      </c>
    </row>
    <row r="6" spans="1:3" s="1" customFormat="1" x14ac:dyDescent="0.25">
      <c r="A6" s="5" t="s">
        <v>247</v>
      </c>
      <c r="B6" s="10">
        <v>100</v>
      </c>
      <c r="C6" s="16"/>
    </row>
    <row r="7" spans="1:3" x14ac:dyDescent="0.25">
      <c r="A7" s="5" t="s">
        <v>248</v>
      </c>
      <c r="B7" s="2">
        <v>1000</v>
      </c>
      <c r="C7" s="15"/>
    </row>
    <row r="8" spans="1:3" x14ac:dyDescent="0.25">
      <c r="A8" s="5" t="s">
        <v>249</v>
      </c>
      <c r="B8" s="2">
        <v>16</v>
      </c>
      <c r="C8" s="84" t="s">
        <v>250</v>
      </c>
    </row>
    <row r="9" spans="1:3" x14ac:dyDescent="0.25">
      <c r="A9" s="5" t="s">
        <v>251</v>
      </c>
      <c r="B9" s="2">
        <v>100000</v>
      </c>
      <c r="C9" s="84"/>
    </row>
    <row r="10" spans="1:3" x14ac:dyDescent="0.25">
      <c r="A10" s="5" t="s">
        <v>252</v>
      </c>
      <c r="B10" s="2">
        <v>10000</v>
      </c>
      <c r="C10" s="15"/>
    </row>
    <row r="11" spans="1:3" x14ac:dyDescent="0.25">
      <c r="A11" s="5" t="s">
        <v>253</v>
      </c>
      <c r="B11" s="2">
        <v>90</v>
      </c>
      <c r="C11" s="15"/>
    </row>
    <row r="12" spans="1:3" x14ac:dyDescent="0.25">
      <c r="A12" s="96" t="s">
        <v>277</v>
      </c>
      <c r="B12" s="53"/>
      <c r="C12" s="15"/>
    </row>
    <row r="13" spans="1:3" x14ac:dyDescent="0.25">
      <c r="A13" s="54" t="s">
        <v>254</v>
      </c>
      <c r="B13" s="55">
        <f>((B6*1024*25 + B7*1024*5)*B11 + B9*1024)/(1024*1024)</f>
        <v>756.8359375</v>
      </c>
      <c r="C13" s="15"/>
    </row>
    <row r="14" spans="1:3" x14ac:dyDescent="0.25">
      <c r="A14" s="56" t="s">
        <v>255</v>
      </c>
      <c r="B14" s="55">
        <f>(3.5+B8)*1024*B10/(1024*1024)</f>
        <v>190.4296875</v>
      </c>
      <c r="C14" s="15"/>
    </row>
  </sheetData>
  <phoneticPr fontId="4"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G36"/>
  <sheetViews>
    <sheetView workbookViewId="0"/>
  </sheetViews>
  <sheetFormatPr defaultRowHeight="13.2" x14ac:dyDescent="0.25"/>
  <cols>
    <col min="1" max="1" width="45.6640625" customWidth="1"/>
    <col min="2" max="2" width="12.6640625" bestFit="1" customWidth="1"/>
    <col min="4" max="4" width="15.33203125" bestFit="1" customWidth="1"/>
    <col min="5" max="5" width="15.109375" bestFit="1" customWidth="1"/>
    <col min="6" max="6" width="15.109375" customWidth="1"/>
    <col min="7" max="7" width="15.33203125" bestFit="1" customWidth="1"/>
    <col min="8" max="8" width="15.109375" bestFit="1" customWidth="1"/>
    <col min="9" max="9" width="15.109375" customWidth="1"/>
    <col min="10" max="10" width="15.33203125" bestFit="1" customWidth="1"/>
    <col min="11" max="11" width="15.109375" bestFit="1" customWidth="1"/>
  </cols>
  <sheetData>
    <row r="1" spans="1:7" x14ac:dyDescent="0.25">
      <c r="A1" s="50" t="s">
        <v>405</v>
      </c>
    </row>
    <row r="2" spans="1:7" ht="117" customHeight="1" x14ac:dyDescent="0.25">
      <c r="A2" s="7" t="s">
        <v>280</v>
      </c>
      <c r="B2" s="8"/>
      <c r="D2" t="s">
        <v>108</v>
      </c>
    </row>
    <row r="3" spans="1:7" s="75" customFormat="1" x14ac:dyDescent="0.25">
      <c r="A3" s="88"/>
      <c r="B3" s="89"/>
      <c r="C3" s="90"/>
    </row>
    <row r="4" spans="1:7" s="75" customFormat="1" x14ac:dyDescent="0.25">
      <c r="A4" s="88" t="s">
        <v>259</v>
      </c>
      <c r="B4" s="89"/>
      <c r="C4" s="90"/>
    </row>
    <row r="5" spans="1:7" s="75" customFormat="1" x14ac:dyDescent="0.25">
      <c r="A5" s="88"/>
      <c r="B5" s="89"/>
      <c r="C5" s="90"/>
    </row>
    <row r="6" spans="1:7" s="75" customFormat="1" ht="129" customHeight="1" x14ac:dyDescent="0.25">
      <c r="A6" s="372" t="s">
        <v>276</v>
      </c>
      <c r="B6" s="373"/>
      <c r="C6" s="90"/>
    </row>
    <row r="7" spans="1:7" x14ac:dyDescent="0.25">
      <c r="A7" s="11"/>
      <c r="B7" s="149"/>
    </row>
    <row r="8" spans="1:7" x14ac:dyDescent="0.25">
      <c r="A8" s="4" t="s">
        <v>109</v>
      </c>
      <c r="B8" s="12" t="s">
        <v>0</v>
      </c>
      <c r="E8" s="91"/>
      <c r="F8" s="91"/>
      <c r="G8" s="91"/>
    </row>
    <row r="9" spans="1:7" x14ac:dyDescent="0.25">
      <c r="A9" s="5" t="s">
        <v>257</v>
      </c>
      <c r="B9" s="87">
        <v>1.33</v>
      </c>
      <c r="C9" s="84"/>
      <c r="E9" s="85"/>
      <c r="F9" s="85"/>
      <c r="G9" s="85"/>
    </row>
    <row r="10" spans="1:7" x14ac:dyDescent="0.25">
      <c r="A10" s="5" t="s">
        <v>256</v>
      </c>
      <c r="B10" s="2">
        <v>6</v>
      </c>
      <c r="C10" s="92" t="str">
        <f>IF(B10&gt;8,"Error:  This spread sheet supports only upto eight calling lists.","")</f>
        <v/>
      </c>
      <c r="D10" s="93"/>
      <c r="E10" s="93"/>
      <c r="F10" s="93"/>
      <c r="G10" s="94"/>
    </row>
    <row r="11" spans="1:7" x14ac:dyDescent="0.25">
      <c r="A11" s="5"/>
      <c r="B11" s="5"/>
      <c r="D11" s="91"/>
      <c r="E11" s="91"/>
      <c r="F11" s="91"/>
    </row>
    <row r="12" spans="1:7" x14ac:dyDescent="0.25">
      <c r="A12" s="5" t="s">
        <v>260</v>
      </c>
      <c r="B12" s="2">
        <v>100000</v>
      </c>
      <c r="C12" s="15"/>
      <c r="E12" s="85"/>
      <c r="F12" s="85"/>
      <c r="G12" s="85"/>
    </row>
    <row r="13" spans="1:7" x14ac:dyDescent="0.25">
      <c r="A13" s="5" t="s">
        <v>261</v>
      </c>
      <c r="B13" s="2">
        <v>600</v>
      </c>
      <c r="C13" s="90"/>
      <c r="E13" s="85"/>
      <c r="F13" s="85"/>
      <c r="G13" s="85"/>
    </row>
    <row r="14" spans="1:7" x14ac:dyDescent="0.25">
      <c r="A14" s="5"/>
      <c r="B14" s="5"/>
      <c r="C14" s="15"/>
      <c r="E14" s="85"/>
      <c r="F14" s="85"/>
      <c r="G14" s="85"/>
    </row>
    <row r="15" spans="1:7" x14ac:dyDescent="0.25">
      <c r="A15" s="5" t="s">
        <v>262</v>
      </c>
      <c r="B15" s="2">
        <v>50000</v>
      </c>
      <c r="C15" s="90"/>
      <c r="E15" s="85"/>
      <c r="F15" s="85"/>
      <c r="G15" s="85"/>
    </row>
    <row r="16" spans="1:7" x14ac:dyDescent="0.25">
      <c r="A16" s="5" t="s">
        <v>263</v>
      </c>
      <c r="B16" s="2">
        <v>450</v>
      </c>
      <c r="C16" s="15"/>
      <c r="E16" s="85"/>
      <c r="F16" s="85"/>
      <c r="G16" s="85"/>
    </row>
    <row r="17" spans="1:7" x14ac:dyDescent="0.25">
      <c r="A17" s="5"/>
      <c r="B17" s="5"/>
      <c r="C17" s="90"/>
      <c r="E17" s="85"/>
      <c r="F17" s="85"/>
      <c r="G17" s="85"/>
    </row>
    <row r="18" spans="1:7" x14ac:dyDescent="0.25">
      <c r="A18" s="5" t="s">
        <v>264</v>
      </c>
      <c r="B18" s="2"/>
      <c r="C18" s="90"/>
      <c r="E18" s="85"/>
      <c r="F18" s="85"/>
      <c r="G18" s="85"/>
    </row>
    <row r="19" spans="1:7" x14ac:dyDescent="0.25">
      <c r="A19" s="5" t="s">
        <v>265</v>
      </c>
      <c r="B19" s="2"/>
      <c r="C19" s="90"/>
      <c r="E19" s="85"/>
      <c r="F19" s="85"/>
      <c r="G19" s="85"/>
    </row>
    <row r="20" spans="1:7" x14ac:dyDescent="0.25">
      <c r="A20" s="86"/>
      <c r="B20" s="86"/>
      <c r="C20" s="90"/>
    </row>
    <row r="21" spans="1:7" x14ac:dyDescent="0.25">
      <c r="A21" s="5" t="s">
        <v>266</v>
      </c>
      <c r="B21" s="2"/>
      <c r="C21" s="90"/>
    </row>
    <row r="22" spans="1:7" x14ac:dyDescent="0.25">
      <c r="A22" s="5" t="s">
        <v>267</v>
      </c>
      <c r="B22" s="2"/>
      <c r="C22" s="90"/>
    </row>
    <row r="23" spans="1:7" x14ac:dyDescent="0.25">
      <c r="A23" s="5"/>
      <c r="B23" s="5"/>
      <c r="C23" s="90"/>
    </row>
    <row r="24" spans="1:7" x14ac:dyDescent="0.25">
      <c r="A24" s="5" t="s">
        <v>268</v>
      </c>
      <c r="B24" s="2"/>
      <c r="C24" s="90"/>
    </row>
    <row r="25" spans="1:7" x14ac:dyDescent="0.25">
      <c r="A25" s="5" t="s">
        <v>269</v>
      </c>
      <c r="B25" s="2"/>
      <c r="C25" s="90"/>
    </row>
    <row r="26" spans="1:7" x14ac:dyDescent="0.25">
      <c r="A26" s="5"/>
      <c r="B26" s="5"/>
      <c r="C26" s="90"/>
    </row>
    <row r="27" spans="1:7" x14ac:dyDescent="0.25">
      <c r="A27" s="5" t="s">
        <v>270</v>
      </c>
      <c r="B27" s="2"/>
      <c r="C27" s="90"/>
    </row>
    <row r="28" spans="1:7" x14ac:dyDescent="0.25">
      <c r="A28" s="5" t="s">
        <v>271</v>
      </c>
      <c r="B28" s="2"/>
      <c r="C28" s="90"/>
    </row>
    <row r="29" spans="1:7" x14ac:dyDescent="0.25">
      <c r="A29" s="5"/>
      <c r="B29" s="5"/>
      <c r="C29" s="90"/>
    </row>
    <row r="30" spans="1:7" x14ac:dyDescent="0.25">
      <c r="A30" s="5" t="s">
        <v>272</v>
      </c>
      <c r="B30" s="2"/>
      <c r="C30" s="90"/>
    </row>
    <row r="31" spans="1:7" x14ac:dyDescent="0.25">
      <c r="A31" s="5" t="s">
        <v>273</v>
      </c>
      <c r="B31" s="2"/>
      <c r="C31" s="90"/>
    </row>
    <row r="32" spans="1:7" x14ac:dyDescent="0.25">
      <c r="A32" s="5"/>
      <c r="B32" s="5"/>
      <c r="C32" s="90"/>
    </row>
    <row r="33" spans="1:3" x14ac:dyDescent="0.25">
      <c r="A33" s="5" t="s">
        <v>274</v>
      </c>
      <c r="B33" s="2"/>
      <c r="C33" s="90"/>
    </row>
    <row r="34" spans="1:3" x14ac:dyDescent="0.25">
      <c r="A34" s="5" t="s">
        <v>275</v>
      </c>
      <c r="B34" s="2"/>
      <c r="C34" s="90"/>
    </row>
    <row r="35" spans="1:3" x14ac:dyDescent="0.25">
      <c r="A35" s="52"/>
      <c r="B35" s="53"/>
      <c r="C35" s="15"/>
    </row>
    <row r="36" spans="1:3" x14ac:dyDescent="0.25">
      <c r="A36" s="54" t="s">
        <v>258</v>
      </c>
      <c r="B36" s="55">
        <f>B9*((B12*B13)+(B15*B16)+(B18*B19)+(B21*B22)+(B24*B25)+(B27*B28)+(B30*B31)+(B33*B34))/(1024*1024)</f>
        <v>104.64191436767578</v>
      </c>
      <c r="C36" s="15"/>
    </row>
  </sheetData>
  <mergeCells count="1">
    <mergeCell ref="A6:B6"/>
  </mergeCells>
  <phoneticPr fontId="4" type="noConversion"/>
  <pageMargins left="0.75" right="0.75" top="1" bottom="1" header="0.5" footer="0.5"/>
  <pageSetup orientation="portrait" r:id="rId1"/>
  <headerFooter alignWithMargins="0"/>
  <drawing r:id="rId2"/>
  <legacyDrawing r:id="rId3"/>
  <oleObjects>
    <mc:AlternateContent xmlns:mc="http://schemas.openxmlformats.org/markup-compatibility/2006">
      <mc:Choice Requires="x14">
        <oleObject progId="Equation.3" shapeId="4098" r:id="rId4">
          <objectPr defaultSize="0" autoPict="0" r:id="rId5">
            <anchor moveWithCells="1">
              <from>
                <xdr:col>0</xdr:col>
                <xdr:colOff>571500</xdr:colOff>
                <xdr:row>2</xdr:row>
                <xdr:rowOff>60960</xdr:rowOff>
              </from>
              <to>
                <xdr:col>0</xdr:col>
                <xdr:colOff>1508760</xdr:colOff>
                <xdr:row>5</xdr:row>
                <xdr:rowOff>0</xdr:rowOff>
              </to>
            </anchor>
          </objectPr>
        </oleObject>
      </mc:Choice>
      <mc:Fallback>
        <oleObject progId="Equation.3" shapeId="4098" r:id="rId4"/>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E58"/>
  <sheetViews>
    <sheetView workbookViewId="0"/>
  </sheetViews>
  <sheetFormatPr defaultRowHeight="13.2" x14ac:dyDescent="0.25"/>
  <cols>
    <col min="1" max="1" width="49.5546875" bestFit="1" customWidth="1"/>
    <col min="2" max="2" width="13.88671875" bestFit="1" customWidth="1"/>
    <col min="3" max="3" width="6.44140625" bestFit="1" customWidth="1"/>
    <col min="4" max="4" width="87.88671875" bestFit="1" customWidth="1"/>
    <col min="5" max="5" width="12.88671875" bestFit="1" customWidth="1"/>
  </cols>
  <sheetData>
    <row r="1" spans="1:5" x14ac:dyDescent="0.25">
      <c r="A1" s="50" t="s">
        <v>407</v>
      </c>
    </row>
    <row r="2" spans="1:5" ht="13.8" thickBot="1" x14ac:dyDescent="0.3"/>
    <row r="3" spans="1:5" x14ac:dyDescent="0.25">
      <c r="A3" s="99" t="s">
        <v>287</v>
      </c>
      <c r="B3" s="100" t="s">
        <v>0</v>
      </c>
      <c r="C3" s="1"/>
      <c r="D3" s="1"/>
    </row>
    <row r="4" spans="1:5" x14ac:dyDescent="0.25">
      <c r="A4" s="101" t="s">
        <v>288</v>
      </c>
      <c r="B4" s="102" t="s">
        <v>51</v>
      </c>
      <c r="C4" s="103"/>
      <c r="D4" s="1"/>
    </row>
    <row r="5" spans="1:5" x14ac:dyDescent="0.25">
      <c r="A5" s="101" t="s">
        <v>289</v>
      </c>
      <c r="B5" s="102">
        <v>3</v>
      </c>
      <c r="C5" s="104" t="s">
        <v>290</v>
      </c>
      <c r="D5" s="105" t="s">
        <v>291</v>
      </c>
      <c r="E5" t="s">
        <v>292</v>
      </c>
    </row>
    <row r="6" spans="1:5" x14ac:dyDescent="0.25">
      <c r="A6" s="106" t="s">
        <v>293</v>
      </c>
      <c r="B6" s="107">
        <v>100</v>
      </c>
      <c r="C6" s="104" t="s">
        <v>290</v>
      </c>
      <c r="D6" s="105" t="s">
        <v>294</v>
      </c>
      <c r="E6" t="s">
        <v>295</v>
      </c>
    </row>
    <row r="7" spans="1:5" x14ac:dyDescent="0.25">
      <c r="A7" s="106" t="s">
        <v>296</v>
      </c>
      <c r="B7" s="107">
        <v>3000</v>
      </c>
      <c r="C7" s="104" t="s">
        <v>290</v>
      </c>
      <c r="D7" s="105" t="s">
        <v>297</v>
      </c>
      <c r="E7" t="s">
        <v>298</v>
      </c>
    </row>
    <row r="8" spans="1:5" x14ac:dyDescent="0.25">
      <c r="A8" s="106" t="s">
        <v>299</v>
      </c>
      <c r="B8" s="108">
        <v>300</v>
      </c>
      <c r="C8" s="109" t="s">
        <v>290</v>
      </c>
      <c r="D8" s="105" t="s">
        <v>300</v>
      </c>
      <c r="E8" t="s">
        <v>301</v>
      </c>
    </row>
    <row r="9" spans="1:5" x14ac:dyDescent="0.25">
      <c r="A9" s="110" t="s">
        <v>302</v>
      </c>
      <c r="B9" s="111">
        <v>15</v>
      </c>
      <c r="C9" s="109" t="s">
        <v>290</v>
      </c>
      <c r="D9" s="105" t="s">
        <v>303</v>
      </c>
      <c r="E9" t="s">
        <v>304</v>
      </c>
    </row>
    <row r="10" spans="1:5" x14ac:dyDescent="0.25">
      <c r="A10" s="110" t="s">
        <v>305</v>
      </c>
      <c r="B10" s="111">
        <v>5</v>
      </c>
      <c r="C10" s="109" t="s">
        <v>290</v>
      </c>
      <c r="D10" s="105" t="s">
        <v>306</v>
      </c>
      <c r="E10" t="s">
        <v>307</v>
      </c>
    </row>
    <row r="11" spans="1:5" x14ac:dyDescent="0.25">
      <c r="A11" s="110" t="s">
        <v>308</v>
      </c>
      <c r="B11" s="111">
        <v>30</v>
      </c>
      <c r="C11" s="109" t="s">
        <v>290</v>
      </c>
      <c r="D11" s="105" t="s">
        <v>309</v>
      </c>
      <c r="E11" t="s">
        <v>310</v>
      </c>
    </row>
    <row r="12" spans="1:5" x14ac:dyDescent="0.25">
      <c r="A12" s="112" t="s">
        <v>311</v>
      </c>
      <c r="B12" s="113">
        <v>15</v>
      </c>
      <c r="C12" s="114" t="s">
        <v>290</v>
      </c>
      <c r="D12" s="115" t="s">
        <v>312</v>
      </c>
      <c r="E12" t="s">
        <v>313</v>
      </c>
    </row>
    <row r="13" spans="1:5" x14ac:dyDescent="0.25">
      <c r="A13" s="112" t="s">
        <v>314</v>
      </c>
      <c r="B13" s="113">
        <v>2</v>
      </c>
      <c r="C13" s="114" t="s">
        <v>290</v>
      </c>
      <c r="D13" s="115" t="s">
        <v>315</v>
      </c>
      <c r="E13" t="s">
        <v>316</v>
      </c>
    </row>
    <row r="14" spans="1:5" x14ac:dyDescent="0.25">
      <c r="A14" s="110" t="s">
        <v>317</v>
      </c>
      <c r="B14" s="111">
        <v>25</v>
      </c>
      <c r="C14" s="114" t="s">
        <v>290</v>
      </c>
      <c r="D14" s="115" t="s">
        <v>318</v>
      </c>
      <c r="E14" t="s">
        <v>319</v>
      </c>
    </row>
    <row r="15" spans="1:5" x14ac:dyDescent="0.25">
      <c r="A15" s="110" t="s">
        <v>320</v>
      </c>
      <c r="B15" s="111">
        <v>30</v>
      </c>
      <c r="C15" s="114" t="s">
        <v>290</v>
      </c>
      <c r="D15" s="115" t="s">
        <v>321</v>
      </c>
      <c r="E15" t="s">
        <v>322</v>
      </c>
    </row>
    <row r="16" spans="1:5" x14ac:dyDescent="0.25">
      <c r="A16" s="110" t="s">
        <v>323</v>
      </c>
      <c r="B16" s="111">
        <v>25</v>
      </c>
      <c r="C16" s="114" t="s">
        <v>290</v>
      </c>
      <c r="D16" s="115" t="s">
        <v>324</v>
      </c>
      <c r="E16" t="s">
        <v>325</v>
      </c>
    </row>
    <row r="17" spans="1:5" x14ac:dyDescent="0.25">
      <c r="A17" s="110" t="s">
        <v>326</v>
      </c>
      <c r="B17" s="111">
        <v>10</v>
      </c>
      <c r="C17" s="109" t="s">
        <v>290</v>
      </c>
      <c r="D17" s="105" t="s">
        <v>327</v>
      </c>
      <c r="E17" t="s">
        <v>328</v>
      </c>
    </row>
    <row r="18" spans="1:5" x14ac:dyDescent="0.25">
      <c r="A18" s="110" t="s">
        <v>329</v>
      </c>
      <c r="B18" s="111">
        <v>10</v>
      </c>
      <c r="C18" s="109" t="s">
        <v>290</v>
      </c>
      <c r="D18" s="105" t="s">
        <v>330</v>
      </c>
      <c r="E18" t="s">
        <v>331</v>
      </c>
    </row>
    <row r="19" spans="1:5" x14ac:dyDescent="0.25">
      <c r="A19" s="110" t="s">
        <v>332</v>
      </c>
      <c r="B19" s="111">
        <v>10</v>
      </c>
      <c r="C19" s="109" t="s">
        <v>290</v>
      </c>
      <c r="D19" s="105" t="s">
        <v>333</v>
      </c>
      <c r="E19" t="s">
        <v>334</v>
      </c>
    </row>
    <row r="20" spans="1:5" x14ac:dyDescent="0.25">
      <c r="A20" s="116"/>
      <c r="B20" s="117"/>
      <c r="C20" s="1"/>
      <c r="D20" s="105" t="s">
        <v>335</v>
      </c>
    </row>
    <row r="21" spans="1:5" x14ac:dyDescent="0.25">
      <c r="A21" s="106" t="s">
        <v>336</v>
      </c>
      <c r="B21" s="108">
        <v>33</v>
      </c>
      <c r="C21" s="109" t="s">
        <v>290</v>
      </c>
      <c r="D21" s="105" t="s">
        <v>337</v>
      </c>
      <c r="E21" t="s">
        <v>338</v>
      </c>
    </row>
    <row r="22" spans="1:5" x14ac:dyDescent="0.25">
      <c r="A22" s="106" t="s">
        <v>339</v>
      </c>
      <c r="B22" s="108">
        <f>365*24*60</f>
        <v>525600</v>
      </c>
      <c r="C22" s="109" t="s">
        <v>290</v>
      </c>
      <c r="D22" s="105" t="s">
        <v>340</v>
      </c>
      <c r="E22" t="s">
        <v>341</v>
      </c>
    </row>
    <row r="23" spans="1:5" x14ac:dyDescent="0.25">
      <c r="A23" s="110"/>
      <c r="B23" s="111"/>
      <c r="C23" s="109"/>
      <c r="D23" s="105" t="s">
        <v>342</v>
      </c>
    </row>
    <row r="24" spans="1:5" ht="13.8" thickBot="1" x14ac:dyDescent="0.3">
      <c r="A24" s="118" t="s">
        <v>343</v>
      </c>
      <c r="B24" s="119" t="s">
        <v>344</v>
      </c>
      <c r="C24" s="109" t="s">
        <v>290</v>
      </c>
      <c r="D24" s="105" t="s">
        <v>345</v>
      </c>
      <c r="E24" t="s">
        <v>346</v>
      </c>
    </row>
    <row r="25" spans="1:5" ht="13.8" thickBot="1" x14ac:dyDescent="0.3"/>
    <row r="26" spans="1:5" hidden="1" x14ac:dyDescent="0.25">
      <c r="A26" s="120" t="s">
        <v>347</v>
      </c>
      <c r="B26" s="121" t="s">
        <v>348</v>
      </c>
      <c r="C26" s="121" t="s">
        <v>349</v>
      </c>
      <c r="D26" s="122" t="s">
        <v>350</v>
      </c>
    </row>
    <row r="27" spans="1:5" hidden="1" x14ac:dyDescent="0.25">
      <c r="A27" s="123" t="s">
        <v>351</v>
      </c>
      <c r="B27" s="124">
        <f>(B6*89026.65+B7*4572.2)*17.7</f>
        <v>400360990.5</v>
      </c>
      <c r="C27" s="125">
        <f>B27/1024/1024/1024</f>
        <v>0.37286522844806314</v>
      </c>
      <c r="D27" s="126" t="s">
        <v>352</v>
      </c>
    </row>
    <row r="28" spans="1:5" ht="39.6" hidden="1" x14ac:dyDescent="0.25">
      <c r="A28" s="123"/>
      <c r="B28" s="124"/>
      <c r="C28" s="125"/>
      <c r="D28" s="127" t="s">
        <v>353</v>
      </c>
    </row>
    <row r="29" spans="1:5" hidden="1" x14ac:dyDescent="0.25">
      <c r="A29" s="123" t="s">
        <v>354</v>
      </c>
      <c r="B29" s="124">
        <f>365*B7*705.73</f>
        <v>772774350</v>
      </c>
      <c r="C29" s="125">
        <f t="shared" ref="C29:C49" si="0">B29/1024/1024/1024</f>
        <v>0.71970219723880291</v>
      </c>
      <c r="D29" s="126" t="s">
        <v>355</v>
      </c>
    </row>
    <row r="30" spans="1:5" hidden="1" x14ac:dyDescent="0.25">
      <c r="A30" s="123" t="s">
        <v>356</v>
      </c>
      <c r="B30" s="124">
        <f>B7*(B9*398.8+B9*2*418.1+B9*2*391.33)</f>
        <v>90794700</v>
      </c>
      <c r="C30" s="125">
        <f t="shared" si="0"/>
        <v>8.4559153765439987E-2</v>
      </c>
      <c r="D30" s="126" t="s">
        <v>357</v>
      </c>
    </row>
    <row r="31" spans="1:5" hidden="1" x14ac:dyDescent="0.25">
      <c r="A31" s="128" t="s">
        <v>358</v>
      </c>
      <c r="B31" s="129">
        <f>B7*B19*158.61</f>
        <v>4758300</v>
      </c>
      <c r="C31" s="130">
        <f t="shared" si="0"/>
        <v>4.4315122067928314E-3</v>
      </c>
      <c r="D31" s="126" t="s">
        <v>359</v>
      </c>
    </row>
    <row r="32" spans="1:5" hidden="1" x14ac:dyDescent="0.25">
      <c r="A32" s="123" t="s">
        <v>360</v>
      </c>
      <c r="B32" s="124">
        <f>365*96*B6*151.48</f>
        <v>530785919.99999994</v>
      </c>
      <c r="C32" s="125">
        <f t="shared" si="0"/>
        <v>0.49433290958404535</v>
      </c>
      <c r="D32" s="126" t="s">
        <v>361</v>
      </c>
    </row>
    <row r="33" spans="1:4" hidden="1" x14ac:dyDescent="0.25">
      <c r="A33" s="123" t="s">
        <v>362</v>
      </c>
      <c r="B33" s="124">
        <f>365*96*B8*124.86</f>
        <v>1312528320</v>
      </c>
      <c r="C33" s="125">
        <f t="shared" si="0"/>
        <v>1.2223872542381287</v>
      </c>
      <c r="D33" s="126" t="s">
        <v>363</v>
      </c>
    </row>
    <row r="34" spans="1:4" hidden="1" x14ac:dyDescent="0.25">
      <c r="A34" s="123" t="s">
        <v>402</v>
      </c>
      <c r="B34" s="124">
        <f>365*96*B8*121.65</f>
        <v>1278784800</v>
      </c>
      <c r="C34" s="125">
        <f t="shared" si="0"/>
        <v>1.1909611523151398</v>
      </c>
      <c r="D34" s="131" t="s">
        <v>363</v>
      </c>
    </row>
    <row r="35" spans="1:4" hidden="1" x14ac:dyDescent="0.25">
      <c r="A35" s="123" t="s">
        <v>364</v>
      </c>
      <c r="B35" s="124">
        <f>10*329502.24</f>
        <v>3295022.4</v>
      </c>
      <c r="C35" s="125">
        <f t="shared" si="0"/>
        <v>3.068728744983673E-3</v>
      </c>
      <c r="D35" s="131" t="s">
        <v>365</v>
      </c>
    </row>
    <row r="36" spans="1:4" hidden="1" x14ac:dyDescent="0.25">
      <c r="A36" s="123" t="s">
        <v>366</v>
      </c>
      <c r="B36" s="124">
        <f>B7*365*381.15</f>
        <v>417359250</v>
      </c>
      <c r="C36" s="125">
        <f t="shared" si="0"/>
        <v>0.38869609124958515</v>
      </c>
      <c r="D36" s="131" t="s">
        <v>367</v>
      </c>
    </row>
    <row r="37" spans="1:4" hidden="1" x14ac:dyDescent="0.25">
      <c r="A37" s="123" t="s">
        <v>368</v>
      </c>
      <c r="B37" s="124">
        <f>B7*365*381.15</f>
        <v>417359250</v>
      </c>
      <c r="C37" s="125">
        <f t="shared" si="0"/>
        <v>0.38869609124958515</v>
      </c>
      <c r="D37" s="131" t="s">
        <v>367</v>
      </c>
    </row>
    <row r="38" spans="1:4" hidden="1" x14ac:dyDescent="0.25">
      <c r="A38" s="123" t="s">
        <v>369</v>
      </c>
      <c r="B38" s="124">
        <f>B7*365*381.15*0.1</f>
        <v>41735925</v>
      </c>
      <c r="C38" s="125">
        <f t="shared" si="0"/>
        <v>3.8869609124958515E-2</v>
      </c>
      <c r="D38" s="131" t="s">
        <v>370</v>
      </c>
    </row>
    <row r="39" spans="1:4" hidden="1" x14ac:dyDescent="0.25">
      <c r="A39" s="123" t="s">
        <v>371</v>
      </c>
      <c r="B39" s="129">
        <f>365 * B17*B18*943</f>
        <v>34419500</v>
      </c>
      <c r="C39" s="130">
        <f t="shared" si="0"/>
        <v>3.2055657356977463E-2</v>
      </c>
      <c r="D39" s="126" t="s">
        <v>372</v>
      </c>
    </row>
    <row r="40" spans="1:4" hidden="1" x14ac:dyDescent="0.25">
      <c r="A40" s="123" t="s">
        <v>373</v>
      </c>
      <c r="B40" s="129">
        <f>B7*237.9*(B9+B9*2+B9*2)*2</f>
        <v>107055000</v>
      </c>
      <c r="C40" s="130">
        <f t="shared" si="0"/>
        <v>9.9702738225460052E-2</v>
      </c>
      <c r="D40" s="126" t="s">
        <v>374</v>
      </c>
    </row>
    <row r="41" spans="1:4" hidden="1" x14ac:dyDescent="0.25">
      <c r="A41" s="123" t="s">
        <v>375</v>
      </c>
      <c r="B41" s="124">
        <f>B7*B21*(403.36+IF(B24="Low", 0, 381.15)+276.04)+B7*365*(276.04+IF(B24="Low", 0, 381.15)+111.71)</f>
        <v>491846850</v>
      </c>
      <c r="C41" s="125">
        <f t="shared" si="0"/>
        <v>0.45806807465851307</v>
      </c>
      <c r="D41" s="131" t="s">
        <v>376</v>
      </c>
    </row>
    <row r="42" spans="1:4" hidden="1" x14ac:dyDescent="0.25">
      <c r="A42" s="123" t="s">
        <v>377</v>
      </c>
      <c r="B42" s="124">
        <f>B22*B5*335.66</f>
        <v>529268688.00000006</v>
      </c>
      <c r="C42" s="125">
        <f t="shared" si="0"/>
        <v>0.49291987717151647</v>
      </c>
      <c r="D42" s="132" t="s">
        <v>378</v>
      </c>
    </row>
    <row r="43" spans="1:4" hidden="1" x14ac:dyDescent="0.25">
      <c r="A43" s="123" t="s">
        <v>379</v>
      </c>
      <c r="B43" s="124">
        <f>B22*B5*283.84</f>
        <v>447558911.99999994</v>
      </c>
      <c r="C43" s="125">
        <f t="shared" si="0"/>
        <v>0.41682171821594233</v>
      </c>
      <c r="D43" s="132" t="s">
        <v>378</v>
      </c>
    </row>
    <row r="44" spans="1:4" hidden="1" x14ac:dyDescent="0.25">
      <c r="A44" s="123" t="s">
        <v>380</v>
      </c>
      <c r="B44" s="124">
        <f>B22*B5*98.04</f>
        <v>154589472</v>
      </c>
      <c r="C44" s="125">
        <f t="shared" si="0"/>
        <v>0.14397266507148743</v>
      </c>
      <c r="D44" s="132" t="s">
        <v>378</v>
      </c>
    </row>
    <row r="45" spans="1:4" hidden="1" x14ac:dyDescent="0.25">
      <c r="A45" s="123" t="s">
        <v>381</v>
      </c>
      <c r="B45" s="124">
        <f>B10*2*B11*4055.04</f>
        <v>1216512</v>
      </c>
      <c r="C45" s="125">
        <f t="shared" si="0"/>
        <v>1.132965087890625E-3</v>
      </c>
      <c r="D45" s="133" t="s">
        <v>382</v>
      </c>
    </row>
    <row r="46" spans="1:4" hidden="1" x14ac:dyDescent="0.25">
      <c r="A46" s="123" t="s">
        <v>383</v>
      </c>
      <c r="B46" s="124">
        <f>B12*B13*2*2115.23</f>
        <v>126913.8</v>
      </c>
      <c r="C46" s="125">
        <f t="shared" si="0"/>
        <v>1.1819768697023392E-4</v>
      </c>
      <c r="D46" s="134" t="s">
        <v>384</v>
      </c>
    </row>
    <row r="47" spans="1:4" hidden="1" x14ac:dyDescent="0.25">
      <c r="A47" s="123" t="s">
        <v>385</v>
      </c>
      <c r="B47" s="124">
        <f>B14*96*B15*303.4</f>
        <v>21844800</v>
      </c>
      <c r="C47" s="125">
        <f t="shared" si="0"/>
        <v>2.0344555377960205E-2</v>
      </c>
      <c r="D47" s="134" t="s">
        <v>386</v>
      </c>
    </row>
    <row r="48" spans="1:4" hidden="1" x14ac:dyDescent="0.25">
      <c r="A48" s="135" t="s">
        <v>387</v>
      </c>
      <c r="B48" s="124">
        <f>B15*96*7*303.4</f>
        <v>6116544</v>
      </c>
      <c r="C48" s="125">
        <f t="shared" si="0"/>
        <v>5.6964755058288574E-3</v>
      </c>
      <c r="D48" s="132" t="s">
        <v>388</v>
      </c>
    </row>
    <row r="49" spans="1:4" ht="13.8" hidden="1" thickBot="1" x14ac:dyDescent="0.3">
      <c r="A49" s="136" t="s">
        <v>389</v>
      </c>
      <c r="B49" s="137">
        <f>B6*B10*3221.13</f>
        <v>1610565</v>
      </c>
      <c r="C49" s="138">
        <f t="shared" si="0"/>
        <v>1.4999555423855782E-3</v>
      </c>
      <c r="D49" s="139" t="s">
        <v>390</v>
      </c>
    </row>
    <row r="50" spans="1:4" ht="13.8" hidden="1" thickBot="1" x14ac:dyDescent="0.3"/>
    <row r="51" spans="1:4" x14ac:dyDescent="0.25">
      <c r="A51" s="120" t="s">
        <v>391</v>
      </c>
      <c r="B51" s="140" t="s">
        <v>348</v>
      </c>
      <c r="C51" s="122" t="s">
        <v>349</v>
      </c>
    </row>
    <row r="52" spans="1:4" x14ac:dyDescent="0.25">
      <c r="A52" s="128" t="s">
        <v>392</v>
      </c>
      <c r="B52" s="129">
        <f>SUM(B27:B49)</f>
        <v>7066190584.6999998</v>
      </c>
      <c r="C52" s="141">
        <f>B52/1024/1024/1024</f>
        <v>6.5809028080664573</v>
      </c>
    </row>
    <row r="53" spans="1:4" x14ac:dyDescent="0.25">
      <c r="A53" s="128" t="s">
        <v>393</v>
      </c>
      <c r="B53" s="129">
        <f>B52*2</f>
        <v>14132381169.4</v>
      </c>
      <c r="C53" s="141">
        <f>B53/1024/1024/1024</f>
        <v>13.161805616132915</v>
      </c>
    </row>
    <row r="54" spans="1:4" x14ac:dyDescent="0.25">
      <c r="A54" s="128" t="s">
        <v>394</v>
      </c>
      <c r="B54" s="129">
        <f>B52*3</f>
        <v>21198571754.099998</v>
      </c>
      <c r="C54" s="141">
        <f>B54/1024/1024/1024</f>
        <v>19.742708424199371</v>
      </c>
    </row>
    <row r="55" spans="1:4" ht="13.8" thickBot="1" x14ac:dyDescent="0.3">
      <c r="A55" s="142" t="s">
        <v>395</v>
      </c>
      <c r="B55" s="143">
        <f>B52*4</f>
        <v>28264762338.799999</v>
      </c>
      <c r="C55" s="144">
        <f>B55/1024/1024/1024</f>
        <v>26.323611232265829</v>
      </c>
    </row>
    <row r="58" spans="1:4" x14ac:dyDescent="0.25">
      <c r="C58" s="145" t="s">
        <v>396</v>
      </c>
      <c r="D58" s="146" t="s">
        <v>397</v>
      </c>
    </row>
  </sheetData>
  <phoneticPr fontId="4"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E58"/>
  <sheetViews>
    <sheetView workbookViewId="0"/>
  </sheetViews>
  <sheetFormatPr defaultRowHeight="13.2" x14ac:dyDescent="0.25"/>
  <cols>
    <col min="1" max="1" width="49.5546875" bestFit="1" customWidth="1"/>
    <col min="2" max="2" width="13.88671875" bestFit="1" customWidth="1"/>
    <col min="3" max="3" width="6.44140625" bestFit="1" customWidth="1"/>
    <col min="4" max="4" width="96" bestFit="1" customWidth="1"/>
    <col min="5" max="5" width="12.88671875" bestFit="1" customWidth="1"/>
  </cols>
  <sheetData>
    <row r="1" spans="1:5" x14ac:dyDescent="0.25">
      <c r="A1" s="50" t="s">
        <v>408</v>
      </c>
    </row>
    <row r="2" spans="1:5" ht="13.8" thickBot="1" x14ac:dyDescent="0.3"/>
    <row r="3" spans="1:5" x14ac:dyDescent="0.25">
      <c r="A3" s="99" t="s">
        <v>287</v>
      </c>
      <c r="B3" s="100" t="s">
        <v>0</v>
      </c>
      <c r="C3" s="1"/>
      <c r="D3" s="1"/>
    </row>
    <row r="4" spans="1:5" x14ac:dyDescent="0.25">
      <c r="A4" s="101" t="s">
        <v>288</v>
      </c>
      <c r="B4" s="102" t="s">
        <v>283</v>
      </c>
      <c r="C4" s="103"/>
      <c r="D4" s="1"/>
    </row>
    <row r="5" spans="1:5" x14ac:dyDescent="0.25">
      <c r="A5" s="101" t="s">
        <v>289</v>
      </c>
      <c r="B5" s="102">
        <v>3</v>
      </c>
      <c r="C5" s="104" t="s">
        <v>290</v>
      </c>
      <c r="D5" s="105" t="s">
        <v>291</v>
      </c>
      <c r="E5" t="s">
        <v>292</v>
      </c>
    </row>
    <row r="6" spans="1:5" x14ac:dyDescent="0.25">
      <c r="A6" s="106" t="s">
        <v>293</v>
      </c>
      <c r="B6" s="107">
        <v>100</v>
      </c>
      <c r="C6" s="104" t="s">
        <v>290</v>
      </c>
      <c r="D6" s="105" t="s">
        <v>294</v>
      </c>
      <c r="E6" t="s">
        <v>295</v>
      </c>
    </row>
    <row r="7" spans="1:5" x14ac:dyDescent="0.25">
      <c r="A7" s="106" t="s">
        <v>296</v>
      </c>
      <c r="B7" s="107">
        <v>3000</v>
      </c>
      <c r="C7" s="104" t="s">
        <v>290</v>
      </c>
      <c r="D7" s="105" t="s">
        <v>297</v>
      </c>
      <c r="E7" t="s">
        <v>298</v>
      </c>
    </row>
    <row r="8" spans="1:5" x14ac:dyDescent="0.25">
      <c r="A8" s="106" t="s">
        <v>299</v>
      </c>
      <c r="B8" s="108">
        <v>300</v>
      </c>
      <c r="C8" s="109" t="s">
        <v>290</v>
      </c>
      <c r="D8" s="105" t="s">
        <v>300</v>
      </c>
      <c r="E8" t="s">
        <v>301</v>
      </c>
    </row>
    <row r="9" spans="1:5" x14ac:dyDescent="0.25">
      <c r="A9" s="110" t="s">
        <v>302</v>
      </c>
      <c r="B9" s="111">
        <v>15</v>
      </c>
      <c r="C9" s="109" t="s">
        <v>290</v>
      </c>
      <c r="D9" s="105" t="s">
        <v>303</v>
      </c>
      <c r="E9" t="s">
        <v>304</v>
      </c>
    </row>
    <row r="10" spans="1:5" x14ac:dyDescent="0.25">
      <c r="A10" s="110" t="s">
        <v>305</v>
      </c>
      <c r="B10" s="111">
        <v>5</v>
      </c>
      <c r="C10" s="109" t="s">
        <v>290</v>
      </c>
      <c r="D10" s="105" t="s">
        <v>306</v>
      </c>
      <c r="E10" t="s">
        <v>307</v>
      </c>
    </row>
    <row r="11" spans="1:5" x14ac:dyDescent="0.25">
      <c r="A11" s="110" t="s">
        <v>308</v>
      </c>
      <c r="B11" s="111">
        <v>30</v>
      </c>
      <c r="C11" s="109" t="s">
        <v>290</v>
      </c>
      <c r="D11" s="105" t="s">
        <v>309</v>
      </c>
      <c r="E11" t="s">
        <v>310</v>
      </c>
    </row>
    <row r="12" spans="1:5" x14ac:dyDescent="0.25">
      <c r="A12" s="112" t="s">
        <v>311</v>
      </c>
      <c r="B12" s="113">
        <v>15</v>
      </c>
      <c r="C12" s="114" t="s">
        <v>290</v>
      </c>
      <c r="D12" s="115" t="s">
        <v>312</v>
      </c>
      <c r="E12" t="s">
        <v>313</v>
      </c>
    </row>
    <row r="13" spans="1:5" x14ac:dyDescent="0.25">
      <c r="A13" s="112" t="s">
        <v>314</v>
      </c>
      <c r="B13" s="113">
        <v>2</v>
      </c>
      <c r="C13" s="114" t="s">
        <v>290</v>
      </c>
      <c r="D13" s="115" t="s">
        <v>315</v>
      </c>
      <c r="E13" t="s">
        <v>316</v>
      </c>
    </row>
    <row r="14" spans="1:5" x14ac:dyDescent="0.25">
      <c r="A14" s="110" t="s">
        <v>317</v>
      </c>
      <c r="B14" s="111">
        <v>25</v>
      </c>
      <c r="C14" s="114" t="s">
        <v>290</v>
      </c>
      <c r="D14" s="115" t="s">
        <v>318</v>
      </c>
      <c r="E14" t="s">
        <v>319</v>
      </c>
    </row>
    <row r="15" spans="1:5" x14ac:dyDescent="0.25">
      <c r="A15" s="110" t="s">
        <v>320</v>
      </c>
      <c r="B15" s="111">
        <v>30</v>
      </c>
      <c r="C15" s="114" t="s">
        <v>290</v>
      </c>
      <c r="D15" s="115" t="s">
        <v>321</v>
      </c>
      <c r="E15" t="s">
        <v>322</v>
      </c>
    </row>
    <row r="16" spans="1:5" x14ac:dyDescent="0.25">
      <c r="A16" s="110" t="s">
        <v>323</v>
      </c>
      <c r="B16" s="111">
        <v>25</v>
      </c>
      <c r="C16" s="114" t="s">
        <v>290</v>
      </c>
      <c r="D16" s="115" t="s">
        <v>324</v>
      </c>
      <c r="E16" t="s">
        <v>325</v>
      </c>
    </row>
    <row r="17" spans="1:5" x14ac:dyDescent="0.25">
      <c r="A17" s="110" t="s">
        <v>326</v>
      </c>
      <c r="B17" s="111">
        <v>10</v>
      </c>
      <c r="C17" s="109" t="s">
        <v>290</v>
      </c>
      <c r="D17" s="105" t="s">
        <v>327</v>
      </c>
      <c r="E17" t="s">
        <v>328</v>
      </c>
    </row>
    <row r="18" spans="1:5" x14ac:dyDescent="0.25">
      <c r="A18" s="110" t="s">
        <v>329</v>
      </c>
      <c r="B18" s="111">
        <v>10</v>
      </c>
      <c r="C18" s="109" t="s">
        <v>290</v>
      </c>
      <c r="D18" s="105" t="s">
        <v>330</v>
      </c>
      <c r="E18" t="s">
        <v>331</v>
      </c>
    </row>
    <row r="19" spans="1:5" x14ac:dyDescent="0.25">
      <c r="A19" s="110" t="s">
        <v>332</v>
      </c>
      <c r="B19" s="111">
        <v>10</v>
      </c>
      <c r="C19" s="109" t="s">
        <v>290</v>
      </c>
      <c r="D19" s="105" t="s">
        <v>333</v>
      </c>
      <c r="E19" t="s">
        <v>334</v>
      </c>
    </row>
    <row r="20" spans="1:5" x14ac:dyDescent="0.25">
      <c r="A20" s="116"/>
      <c r="B20" s="117"/>
      <c r="C20" s="1"/>
      <c r="D20" s="105" t="s">
        <v>335</v>
      </c>
    </row>
    <row r="21" spans="1:5" x14ac:dyDescent="0.25">
      <c r="A21" s="106" t="s">
        <v>336</v>
      </c>
      <c r="B21" s="108">
        <v>33</v>
      </c>
      <c r="C21" s="109" t="s">
        <v>290</v>
      </c>
      <c r="D21" s="105" t="s">
        <v>337</v>
      </c>
      <c r="E21" t="s">
        <v>338</v>
      </c>
    </row>
    <row r="22" spans="1:5" x14ac:dyDescent="0.25">
      <c r="A22" s="106" t="s">
        <v>339</v>
      </c>
      <c r="B22" s="108">
        <f>365*24*60</f>
        <v>525600</v>
      </c>
      <c r="C22" s="109" t="s">
        <v>290</v>
      </c>
      <c r="D22" s="105" t="s">
        <v>340</v>
      </c>
      <c r="E22" t="s">
        <v>341</v>
      </c>
    </row>
    <row r="23" spans="1:5" x14ac:dyDescent="0.25">
      <c r="A23" s="110"/>
      <c r="B23" s="111"/>
      <c r="C23" s="109"/>
      <c r="D23" s="105" t="s">
        <v>342</v>
      </c>
    </row>
    <row r="24" spans="1:5" ht="13.8" thickBot="1" x14ac:dyDescent="0.3">
      <c r="A24" s="118" t="s">
        <v>343</v>
      </c>
      <c r="B24" s="119" t="s">
        <v>344</v>
      </c>
      <c r="C24" s="109" t="s">
        <v>290</v>
      </c>
      <c r="D24" s="105" t="s">
        <v>345</v>
      </c>
      <c r="E24" t="s">
        <v>346</v>
      </c>
    </row>
    <row r="25" spans="1:5" ht="13.8" thickBot="1" x14ac:dyDescent="0.3"/>
    <row r="26" spans="1:5" hidden="1" x14ac:dyDescent="0.25">
      <c r="A26" s="120" t="s">
        <v>347</v>
      </c>
      <c r="B26" s="121" t="s">
        <v>348</v>
      </c>
      <c r="C26" s="121" t="s">
        <v>349</v>
      </c>
      <c r="D26" s="122" t="s">
        <v>350</v>
      </c>
    </row>
    <row r="27" spans="1:5" hidden="1" x14ac:dyDescent="0.25">
      <c r="A27" s="123" t="s">
        <v>351</v>
      </c>
      <c r="B27" s="124">
        <f>(B6*4082.25+B7*445.65)*9.37</f>
        <v>16352289.749999998</v>
      </c>
      <c r="C27" s="125">
        <f>B27/1024/1024/1024</f>
        <v>1.5229256590828298E-2</v>
      </c>
      <c r="D27" s="126" t="s">
        <v>284</v>
      </c>
    </row>
    <row r="28" spans="1:5" ht="39.6" hidden="1" x14ac:dyDescent="0.25">
      <c r="A28" s="123"/>
      <c r="B28" s="124"/>
      <c r="C28" s="125"/>
      <c r="D28" s="127" t="s">
        <v>285</v>
      </c>
    </row>
    <row r="29" spans="1:5" hidden="1" x14ac:dyDescent="0.25">
      <c r="A29" s="123" t="s">
        <v>354</v>
      </c>
      <c r="B29" s="124">
        <f>365*B7*824.12</f>
        <v>902411400</v>
      </c>
      <c r="C29" s="125">
        <f t="shared" ref="C29:C49" si="0">B29/1024/1024/1024</f>
        <v>0.84043610841035843</v>
      </c>
      <c r="D29" s="126" t="s">
        <v>355</v>
      </c>
    </row>
    <row r="30" spans="1:5" hidden="1" x14ac:dyDescent="0.25">
      <c r="A30" s="123" t="s">
        <v>356</v>
      </c>
      <c r="B30" s="124">
        <f>B7*(B9*1012.49+B9*2*577.64+B9*2*615.94)</f>
        <v>152984250</v>
      </c>
      <c r="C30" s="125">
        <f t="shared" si="0"/>
        <v>0.14247768558561802</v>
      </c>
      <c r="D30" s="126" t="s">
        <v>357</v>
      </c>
    </row>
    <row r="31" spans="1:5" hidden="1" x14ac:dyDescent="0.25">
      <c r="A31" s="128" t="s">
        <v>358</v>
      </c>
      <c r="B31" s="129">
        <f>B7*B19*192.05</f>
        <v>5761500</v>
      </c>
      <c r="C31" s="130">
        <f t="shared" si="0"/>
        <v>5.3658150136470795E-3</v>
      </c>
      <c r="D31" s="126" t="s">
        <v>359</v>
      </c>
    </row>
    <row r="32" spans="1:5" hidden="1" x14ac:dyDescent="0.25">
      <c r="A32" s="123" t="s">
        <v>360</v>
      </c>
      <c r="B32" s="124">
        <f>365*96*B6*180.25</f>
        <v>631596000</v>
      </c>
      <c r="C32" s="125">
        <f t="shared" si="0"/>
        <v>0.58821961283683777</v>
      </c>
      <c r="D32" s="126" t="s">
        <v>361</v>
      </c>
    </row>
    <row r="33" spans="1:4" hidden="1" x14ac:dyDescent="0.25">
      <c r="A33" s="123" t="s">
        <v>362</v>
      </c>
      <c r="B33" s="124">
        <f>365*96*B8*161.7</f>
        <v>1699790399.9999998</v>
      </c>
      <c r="C33" s="125">
        <f t="shared" si="0"/>
        <v>1.5830531716346739</v>
      </c>
      <c r="D33" s="126" t="s">
        <v>363</v>
      </c>
    </row>
    <row r="34" spans="1:4" hidden="1" x14ac:dyDescent="0.25">
      <c r="A34" s="123" t="s">
        <v>402</v>
      </c>
      <c r="B34" s="124">
        <f>365*96*B8*153.45</f>
        <v>1613066399.9999998</v>
      </c>
      <c r="C34" s="125">
        <f t="shared" si="0"/>
        <v>1.5022851526737211</v>
      </c>
      <c r="D34" s="131" t="s">
        <v>363</v>
      </c>
    </row>
    <row r="35" spans="1:4" hidden="1" x14ac:dyDescent="0.25">
      <c r="A35" s="123" t="s">
        <v>364</v>
      </c>
      <c r="B35" s="124">
        <f>10*22391.47</f>
        <v>223914.7</v>
      </c>
      <c r="C35" s="125">
        <f t="shared" si="0"/>
        <v>2.085368148982525E-4</v>
      </c>
      <c r="D35" s="131" t="s">
        <v>365</v>
      </c>
    </row>
    <row r="36" spans="1:4" hidden="1" x14ac:dyDescent="0.25">
      <c r="A36" s="123" t="s">
        <v>366</v>
      </c>
      <c r="B36" s="124">
        <f>B7*365*520</f>
        <v>569400000</v>
      </c>
      <c r="C36" s="125">
        <f t="shared" si="0"/>
        <v>0.53029507398605347</v>
      </c>
      <c r="D36" s="131" t="s">
        <v>367</v>
      </c>
    </row>
    <row r="37" spans="1:4" hidden="1" x14ac:dyDescent="0.25">
      <c r="A37" s="123" t="s">
        <v>368</v>
      </c>
      <c r="B37" s="124">
        <f>B7*365*520</f>
        <v>569400000</v>
      </c>
      <c r="C37" s="125">
        <f t="shared" si="0"/>
        <v>0.53029507398605347</v>
      </c>
      <c r="D37" s="131" t="s">
        <v>367</v>
      </c>
    </row>
    <row r="38" spans="1:4" hidden="1" x14ac:dyDescent="0.25">
      <c r="A38" s="123" t="s">
        <v>369</v>
      </c>
      <c r="B38" s="124">
        <f>B7*365*520*0.1</f>
        <v>56940000</v>
      </c>
      <c r="C38" s="125">
        <f t="shared" si="0"/>
        <v>5.3029507398605347E-2</v>
      </c>
      <c r="D38" s="131" t="s">
        <v>370</v>
      </c>
    </row>
    <row r="39" spans="1:4" hidden="1" x14ac:dyDescent="0.25">
      <c r="A39" s="123" t="s">
        <v>371</v>
      </c>
      <c r="B39" s="129">
        <f>365 * B17*B18*495.23</f>
        <v>18075895</v>
      </c>
      <c r="C39" s="130">
        <f t="shared" si="0"/>
        <v>1.6834489069879055E-2</v>
      </c>
      <c r="D39" s="126" t="s">
        <v>372</v>
      </c>
    </row>
    <row r="40" spans="1:4" hidden="1" x14ac:dyDescent="0.25">
      <c r="A40" s="123" t="s">
        <v>373</v>
      </c>
      <c r="B40" s="129">
        <f>B7*99.45*(B9+B9*2+B9*2)*2</f>
        <v>44752500</v>
      </c>
      <c r="C40" s="130">
        <f t="shared" si="0"/>
        <v>4.1679013520479202E-2</v>
      </c>
      <c r="D40" s="126" t="s">
        <v>374</v>
      </c>
    </row>
    <row r="41" spans="1:4" hidden="1" x14ac:dyDescent="0.25">
      <c r="A41" s="123" t="s">
        <v>375</v>
      </c>
      <c r="B41" s="124">
        <f>B7*B21*(145.29+IF(B24="Low", 0, 520)+118.67)+B7*365*(118.67+IF(B24="Low", 0, 520)+84.78)</f>
        <v>248909790</v>
      </c>
      <c r="C41" s="125">
        <f t="shared" si="0"/>
        <v>0.23181530646979809</v>
      </c>
      <c r="D41" s="131" t="s">
        <v>376</v>
      </c>
    </row>
    <row r="42" spans="1:4" hidden="1" x14ac:dyDescent="0.25">
      <c r="A42" s="123" t="s">
        <v>377</v>
      </c>
      <c r="B42" s="124">
        <f>B22*B5*82.9</f>
        <v>130716720.00000001</v>
      </c>
      <c r="C42" s="125">
        <f t="shared" si="0"/>
        <v>0.12173943221569063</v>
      </c>
      <c r="D42" s="132" t="s">
        <v>378</v>
      </c>
    </row>
    <row r="43" spans="1:4" hidden="1" x14ac:dyDescent="0.25">
      <c r="A43" s="123" t="s">
        <v>379</v>
      </c>
      <c r="B43" s="124">
        <f>B22*B5*101.04</f>
        <v>159319872</v>
      </c>
      <c r="C43" s="125">
        <f t="shared" si="0"/>
        <v>0.14837819337844849</v>
      </c>
      <c r="D43" s="132" t="s">
        <v>378</v>
      </c>
    </row>
    <row r="44" spans="1:4" hidden="1" x14ac:dyDescent="0.25">
      <c r="A44" s="123" t="s">
        <v>380</v>
      </c>
      <c r="B44" s="124">
        <f>B22*B5*98.04</f>
        <v>154589472</v>
      </c>
      <c r="C44" s="125">
        <f t="shared" si="0"/>
        <v>0.14397266507148743</v>
      </c>
      <c r="D44" s="132" t="s">
        <v>378</v>
      </c>
    </row>
    <row r="45" spans="1:4" hidden="1" x14ac:dyDescent="0.25">
      <c r="A45" s="123" t="s">
        <v>381</v>
      </c>
      <c r="B45" s="124">
        <f>B10*2*B11*925.89</f>
        <v>277767</v>
      </c>
      <c r="C45" s="125">
        <f t="shared" si="0"/>
        <v>2.5869067758321762E-4</v>
      </c>
      <c r="D45" s="133" t="s">
        <v>382</v>
      </c>
    </row>
    <row r="46" spans="1:4" hidden="1" x14ac:dyDescent="0.25">
      <c r="A46" s="123" t="s">
        <v>383</v>
      </c>
      <c r="B46" s="124">
        <f>B12*B13*2*2115.23</f>
        <v>126913.8</v>
      </c>
      <c r="C46" s="125">
        <f t="shared" si="0"/>
        <v>1.1819768697023392E-4</v>
      </c>
      <c r="D46" s="134" t="s">
        <v>384</v>
      </c>
    </row>
    <row r="47" spans="1:4" hidden="1" x14ac:dyDescent="0.25">
      <c r="A47" s="123" t="s">
        <v>385</v>
      </c>
      <c r="B47" s="124">
        <f>B14*96*B15*78.35</f>
        <v>5641200</v>
      </c>
      <c r="C47" s="125">
        <f t="shared" si="0"/>
        <v>5.2537769079208374E-3</v>
      </c>
      <c r="D47" s="134" t="s">
        <v>386</v>
      </c>
    </row>
    <row r="48" spans="1:4" hidden="1" x14ac:dyDescent="0.25">
      <c r="A48" s="135" t="s">
        <v>387</v>
      </c>
      <c r="B48" s="124">
        <f>B15*96*7*78.35</f>
        <v>1579536</v>
      </c>
      <c r="C48" s="125">
        <f t="shared" si="0"/>
        <v>1.4710575342178345E-3</v>
      </c>
      <c r="D48" s="132" t="s">
        <v>388</v>
      </c>
    </row>
    <row r="49" spans="1:4" ht="13.8" hidden="1" thickBot="1" x14ac:dyDescent="0.3">
      <c r="A49" s="136" t="s">
        <v>389</v>
      </c>
      <c r="B49" s="137">
        <f>B6*B10*96.57</f>
        <v>48285</v>
      </c>
      <c r="C49" s="138">
        <f t="shared" si="0"/>
        <v>4.496891051530838E-5</v>
      </c>
      <c r="D49" s="139" t="s">
        <v>390</v>
      </c>
    </row>
    <row r="50" spans="1:4" ht="13.8" hidden="1" thickBot="1" x14ac:dyDescent="0.3"/>
    <row r="51" spans="1:4" x14ac:dyDescent="0.25">
      <c r="A51" s="120" t="s">
        <v>391</v>
      </c>
      <c r="B51" s="140" t="s">
        <v>348</v>
      </c>
      <c r="C51" s="122" t="s">
        <v>349</v>
      </c>
    </row>
    <row r="52" spans="1:4" x14ac:dyDescent="0.25">
      <c r="A52" s="128" t="s">
        <v>392</v>
      </c>
      <c r="B52" s="129">
        <f>SUM(B27:B49)</f>
        <v>6981964105.25</v>
      </c>
      <c r="C52" s="141">
        <f>B52/1024/1024/1024</f>
        <v>6.5024607863742858</v>
      </c>
    </row>
    <row r="53" spans="1:4" x14ac:dyDescent="0.25">
      <c r="A53" s="128" t="s">
        <v>393</v>
      </c>
      <c r="B53" s="129">
        <f>B52*2</f>
        <v>13963928210.5</v>
      </c>
      <c r="C53" s="141">
        <f>B53/1024/1024/1024</f>
        <v>13.004921572748572</v>
      </c>
    </row>
    <row r="54" spans="1:4" x14ac:dyDescent="0.25">
      <c r="A54" s="128" t="s">
        <v>394</v>
      </c>
      <c r="B54" s="129">
        <f>B52*3</f>
        <v>20945892315.75</v>
      </c>
      <c r="C54" s="141">
        <f>B54/1024/1024/1024</f>
        <v>19.507382359122857</v>
      </c>
    </row>
    <row r="55" spans="1:4" ht="13.8" thickBot="1" x14ac:dyDescent="0.3">
      <c r="A55" s="142" t="s">
        <v>395</v>
      </c>
      <c r="B55" s="143">
        <f>B52*4</f>
        <v>27927856421</v>
      </c>
      <c r="C55" s="144">
        <f>B55/1024/1024/1024</f>
        <v>26.009843145497143</v>
      </c>
    </row>
    <row r="58" spans="1:4" x14ac:dyDescent="0.25">
      <c r="C58" s="145" t="s">
        <v>396</v>
      </c>
      <c r="D58" s="146" t="s">
        <v>286</v>
      </c>
    </row>
  </sheetData>
  <phoneticPr fontId="4"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8"/>
  <sheetViews>
    <sheetView workbookViewId="0"/>
  </sheetViews>
  <sheetFormatPr defaultRowHeight="13.2" x14ac:dyDescent="0.25"/>
  <cols>
    <col min="1" max="1" width="49.5546875" bestFit="1" customWidth="1"/>
    <col min="2" max="2" width="13.88671875" bestFit="1" customWidth="1"/>
    <col min="3" max="3" width="6.44140625" bestFit="1" customWidth="1"/>
    <col min="4" max="4" width="91.33203125" bestFit="1" customWidth="1"/>
    <col min="5" max="5" width="12.88671875" bestFit="1" customWidth="1"/>
  </cols>
  <sheetData>
    <row r="1" spans="1:5" x14ac:dyDescent="0.25">
      <c r="A1" s="50" t="s">
        <v>409</v>
      </c>
    </row>
    <row r="2" spans="1:5" ht="13.8" thickBot="1" x14ac:dyDescent="0.3"/>
    <row r="3" spans="1:5" x14ac:dyDescent="0.25">
      <c r="A3" s="99" t="s">
        <v>287</v>
      </c>
      <c r="B3" s="100" t="s">
        <v>0</v>
      </c>
      <c r="C3" s="1"/>
      <c r="D3" s="1"/>
    </row>
    <row r="4" spans="1:5" x14ac:dyDescent="0.25">
      <c r="A4" s="101" t="s">
        <v>288</v>
      </c>
      <c r="B4" s="102" t="s">
        <v>398</v>
      </c>
      <c r="C4" s="103"/>
      <c r="D4" s="1"/>
    </row>
    <row r="5" spans="1:5" x14ac:dyDescent="0.25">
      <c r="A5" s="101" t="s">
        <v>289</v>
      </c>
      <c r="B5" s="102">
        <v>3</v>
      </c>
      <c r="C5" s="104" t="s">
        <v>290</v>
      </c>
      <c r="D5" s="105" t="s">
        <v>291</v>
      </c>
      <c r="E5" t="s">
        <v>292</v>
      </c>
    </row>
    <row r="6" spans="1:5" x14ac:dyDescent="0.25">
      <c r="A6" s="106" t="s">
        <v>293</v>
      </c>
      <c r="B6" s="107">
        <v>100</v>
      </c>
      <c r="C6" s="104" t="s">
        <v>290</v>
      </c>
      <c r="D6" s="105" t="s">
        <v>294</v>
      </c>
      <c r="E6" t="s">
        <v>295</v>
      </c>
    </row>
    <row r="7" spans="1:5" x14ac:dyDescent="0.25">
      <c r="A7" s="106" t="s">
        <v>296</v>
      </c>
      <c r="B7" s="107">
        <v>3000</v>
      </c>
      <c r="C7" s="104" t="s">
        <v>290</v>
      </c>
      <c r="D7" s="105" t="s">
        <v>297</v>
      </c>
      <c r="E7" t="s">
        <v>298</v>
      </c>
    </row>
    <row r="8" spans="1:5" x14ac:dyDescent="0.25">
      <c r="A8" s="106" t="s">
        <v>299</v>
      </c>
      <c r="B8" s="108">
        <v>300</v>
      </c>
      <c r="C8" s="109" t="s">
        <v>290</v>
      </c>
      <c r="D8" s="105" t="s">
        <v>300</v>
      </c>
      <c r="E8" t="s">
        <v>301</v>
      </c>
    </row>
    <row r="9" spans="1:5" x14ac:dyDescent="0.25">
      <c r="A9" s="110" t="s">
        <v>302</v>
      </c>
      <c r="B9" s="111">
        <v>15</v>
      </c>
      <c r="C9" s="109" t="s">
        <v>290</v>
      </c>
      <c r="D9" s="105" t="s">
        <v>303</v>
      </c>
      <c r="E9" t="s">
        <v>304</v>
      </c>
    </row>
    <row r="10" spans="1:5" x14ac:dyDescent="0.25">
      <c r="A10" s="110" t="s">
        <v>305</v>
      </c>
      <c r="B10" s="111">
        <v>5</v>
      </c>
      <c r="C10" s="109" t="s">
        <v>290</v>
      </c>
      <c r="D10" s="105" t="s">
        <v>306</v>
      </c>
      <c r="E10" t="s">
        <v>307</v>
      </c>
    </row>
    <row r="11" spans="1:5" x14ac:dyDescent="0.25">
      <c r="A11" s="110" t="s">
        <v>308</v>
      </c>
      <c r="B11" s="111">
        <v>30</v>
      </c>
      <c r="C11" s="109" t="s">
        <v>290</v>
      </c>
      <c r="D11" s="105" t="s">
        <v>309</v>
      </c>
      <c r="E11" t="s">
        <v>310</v>
      </c>
    </row>
    <row r="12" spans="1:5" x14ac:dyDescent="0.25">
      <c r="A12" s="112" t="s">
        <v>311</v>
      </c>
      <c r="B12" s="113">
        <v>15</v>
      </c>
      <c r="C12" s="114" t="s">
        <v>290</v>
      </c>
      <c r="D12" s="115" t="s">
        <v>312</v>
      </c>
      <c r="E12" t="s">
        <v>313</v>
      </c>
    </row>
    <row r="13" spans="1:5" x14ac:dyDescent="0.25">
      <c r="A13" s="112" t="s">
        <v>314</v>
      </c>
      <c r="B13" s="113">
        <v>2</v>
      </c>
      <c r="C13" s="114" t="s">
        <v>290</v>
      </c>
      <c r="D13" s="115" t="s">
        <v>315</v>
      </c>
      <c r="E13" t="s">
        <v>316</v>
      </c>
    </row>
    <row r="14" spans="1:5" x14ac:dyDescent="0.25">
      <c r="A14" s="110" t="s">
        <v>317</v>
      </c>
      <c r="B14" s="111">
        <v>25</v>
      </c>
      <c r="C14" s="114" t="s">
        <v>290</v>
      </c>
      <c r="D14" s="115" t="s">
        <v>318</v>
      </c>
      <c r="E14" t="s">
        <v>319</v>
      </c>
    </row>
    <row r="15" spans="1:5" x14ac:dyDescent="0.25">
      <c r="A15" s="110" t="s">
        <v>320</v>
      </c>
      <c r="B15" s="111">
        <v>30</v>
      </c>
      <c r="C15" s="114" t="s">
        <v>290</v>
      </c>
      <c r="D15" s="115" t="s">
        <v>321</v>
      </c>
      <c r="E15" t="s">
        <v>322</v>
      </c>
    </row>
    <row r="16" spans="1:5" x14ac:dyDescent="0.25">
      <c r="A16" s="110" t="s">
        <v>323</v>
      </c>
      <c r="B16" s="111">
        <v>25</v>
      </c>
      <c r="C16" s="114" t="s">
        <v>290</v>
      </c>
      <c r="D16" s="115" t="s">
        <v>324</v>
      </c>
      <c r="E16" t="s">
        <v>325</v>
      </c>
    </row>
    <row r="17" spans="1:5" x14ac:dyDescent="0.25">
      <c r="A17" s="110" t="s">
        <v>326</v>
      </c>
      <c r="B17" s="111">
        <v>10</v>
      </c>
      <c r="C17" s="109" t="s">
        <v>290</v>
      </c>
      <c r="D17" s="105" t="s">
        <v>327</v>
      </c>
      <c r="E17" t="s">
        <v>328</v>
      </c>
    </row>
    <row r="18" spans="1:5" x14ac:dyDescent="0.25">
      <c r="A18" s="110" t="s">
        <v>329</v>
      </c>
      <c r="B18" s="111">
        <v>10</v>
      </c>
      <c r="C18" s="109" t="s">
        <v>290</v>
      </c>
      <c r="D18" s="105" t="s">
        <v>330</v>
      </c>
      <c r="E18" t="s">
        <v>331</v>
      </c>
    </row>
    <row r="19" spans="1:5" x14ac:dyDescent="0.25">
      <c r="A19" s="110" t="s">
        <v>332</v>
      </c>
      <c r="B19" s="111">
        <v>10</v>
      </c>
      <c r="C19" s="109" t="s">
        <v>290</v>
      </c>
      <c r="D19" s="105" t="s">
        <v>333</v>
      </c>
      <c r="E19" t="s">
        <v>334</v>
      </c>
    </row>
    <row r="20" spans="1:5" x14ac:dyDescent="0.25">
      <c r="A20" s="116"/>
      <c r="B20" s="117"/>
      <c r="C20" s="1"/>
      <c r="D20" s="105" t="s">
        <v>335</v>
      </c>
    </row>
    <row r="21" spans="1:5" x14ac:dyDescent="0.25">
      <c r="A21" s="106" t="s">
        <v>336</v>
      </c>
      <c r="B21" s="108">
        <v>33</v>
      </c>
      <c r="C21" s="109" t="s">
        <v>290</v>
      </c>
      <c r="D21" s="105" t="s">
        <v>337</v>
      </c>
      <c r="E21" t="s">
        <v>338</v>
      </c>
    </row>
    <row r="22" spans="1:5" x14ac:dyDescent="0.25">
      <c r="A22" s="106" t="s">
        <v>339</v>
      </c>
      <c r="B22" s="108">
        <f>365*24*60</f>
        <v>525600</v>
      </c>
      <c r="C22" s="109" t="s">
        <v>290</v>
      </c>
      <c r="D22" s="105" t="s">
        <v>340</v>
      </c>
      <c r="E22" t="s">
        <v>341</v>
      </c>
    </row>
    <row r="23" spans="1:5" x14ac:dyDescent="0.25">
      <c r="A23" s="110"/>
      <c r="B23" s="111"/>
      <c r="C23" s="109"/>
      <c r="D23" s="105" t="s">
        <v>342</v>
      </c>
    </row>
    <row r="24" spans="1:5" ht="13.8" thickBot="1" x14ac:dyDescent="0.3">
      <c r="A24" s="118" t="s">
        <v>343</v>
      </c>
      <c r="B24" s="119" t="s">
        <v>344</v>
      </c>
      <c r="C24" s="109" t="s">
        <v>290</v>
      </c>
      <c r="D24" s="105" t="s">
        <v>345</v>
      </c>
      <c r="E24" t="s">
        <v>346</v>
      </c>
    </row>
    <row r="25" spans="1:5" ht="13.8" thickBot="1" x14ac:dyDescent="0.3"/>
    <row r="26" spans="1:5" hidden="1" x14ac:dyDescent="0.25">
      <c r="A26" s="120" t="s">
        <v>347</v>
      </c>
      <c r="B26" s="121" t="s">
        <v>348</v>
      </c>
      <c r="C26" s="121" t="s">
        <v>349</v>
      </c>
      <c r="D26" s="122" t="s">
        <v>350</v>
      </c>
    </row>
    <row r="27" spans="1:5" hidden="1" x14ac:dyDescent="0.25">
      <c r="A27" s="123" t="s">
        <v>351</v>
      </c>
      <c r="B27" s="124">
        <f>(B6*4082.25+B7*445.65)*9.37</f>
        <v>16352289.749999998</v>
      </c>
      <c r="C27" s="125">
        <f>B27/1024/1024/1024</f>
        <v>1.5229256590828298E-2</v>
      </c>
      <c r="D27" s="126" t="s">
        <v>284</v>
      </c>
    </row>
    <row r="28" spans="1:5" ht="39.6" hidden="1" x14ac:dyDescent="0.25">
      <c r="A28" s="123"/>
      <c r="B28" s="124"/>
      <c r="C28" s="125"/>
      <c r="D28" s="127" t="s">
        <v>399</v>
      </c>
    </row>
    <row r="29" spans="1:5" hidden="1" x14ac:dyDescent="0.25">
      <c r="A29" s="123" t="s">
        <v>354</v>
      </c>
      <c r="B29" s="124">
        <f>365*B7*798</f>
        <v>873810000</v>
      </c>
      <c r="C29" s="125">
        <f t="shared" ref="C29:C49" si="0">B29/1024/1024/1024</f>
        <v>0.81379897892475128</v>
      </c>
      <c r="D29" s="126" t="s">
        <v>355</v>
      </c>
    </row>
    <row r="30" spans="1:5" hidden="1" x14ac:dyDescent="0.25">
      <c r="A30" s="123" t="s">
        <v>356</v>
      </c>
      <c r="B30" s="124">
        <f>B7*(B9*1012.49+B9*2*577.64+B9*2*615.94)</f>
        <v>152984250</v>
      </c>
      <c r="C30" s="125">
        <f t="shared" si="0"/>
        <v>0.14247768558561802</v>
      </c>
      <c r="D30" s="126" t="s">
        <v>357</v>
      </c>
    </row>
    <row r="31" spans="1:5" hidden="1" x14ac:dyDescent="0.25">
      <c r="A31" s="128" t="s">
        <v>358</v>
      </c>
      <c r="B31" s="129">
        <f>B7*B19*192.05</f>
        <v>5761500</v>
      </c>
      <c r="C31" s="130">
        <f t="shared" si="0"/>
        <v>5.3658150136470795E-3</v>
      </c>
      <c r="D31" s="126" t="s">
        <v>359</v>
      </c>
    </row>
    <row r="32" spans="1:5" hidden="1" x14ac:dyDescent="0.25">
      <c r="A32" s="123" t="s">
        <v>360</v>
      </c>
      <c r="B32" s="124">
        <f>365*96*B6*180.25</f>
        <v>631596000</v>
      </c>
      <c r="C32" s="125">
        <f t="shared" si="0"/>
        <v>0.58821961283683777</v>
      </c>
      <c r="D32" s="126" t="s">
        <v>361</v>
      </c>
    </row>
    <row r="33" spans="1:4" hidden="1" x14ac:dyDescent="0.25">
      <c r="A33" s="123" t="s">
        <v>362</v>
      </c>
      <c r="B33" s="124">
        <f>365*96*B8*161.7</f>
        <v>1699790399.9999998</v>
      </c>
      <c r="C33" s="125">
        <f t="shared" si="0"/>
        <v>1.5830531716346739</v>
      </c>
      <c r="D33" s="126" t="s">
        <v>363</v>
      </c>
    </row>
    <row r="34" spans="1:4" hidden="1" x14ac:dyDescent="0.25">
      <c r="A34" s="123" t="s">
        <v>402</v>
      </c>
      <c r="B34" s="124">
        <f>365*96*B8*153.45</f>
        <v>1613066399.9999998</v>
      </c>
      <c r="C34" s="125">
        <f t="shared" si="0"/>
        <v>1.5022851526737211</v>
      </c>
      <c r="D34" s="131" t="s">
        <v>363</v>
      </c>
    </row>
    <row r="35" spans="1:4" hidden="1" x14ac:dyDescent="0.25">
      <c r="A35" s="123" t="s">
        <v>364</v>
      </c>
      <c r="B35" s="124">
        <f>10*22391.47</f>
        <v>223914.7</v>
      </c>
      <c r="C35" s="125">
        <f t="shared" si="0"/>
        <v>2.085368148982525E-4</v>
      </c>
      <c r="D35" s="131" t="s">
        <v>365</v>
      </c>
    </row>
    <row r="36" spans="1:4" hidden="1" x14ac:dyDescent="0.25">
      <c r="A36" s="123" t="s">
        <v>366</v>
      </c>
      <c r="B36" s="124">
        <f>B7*365*520</f>
        <v>569400000</v>
      </c>
      <c r="C36" s="125">
        <f t="shared" si="0"/>
        <v>0.53029507398605347</v>
      </c>
      <c r="D36" s="131" t="s">
        <v>367</v>
      </c>
    </row>
    <row r="37" spans="1:4" hidden="1" x14ac:dyDescent="0.25">
      <c r="A37" s="123" t="s">
        <v>368</v>
      </c>
      <c r="B37" s="124">
        <f>B7*365*520</f>
        <v>569400000</v>
      </c>
      <c r="C37" s="125">
        <f t="shared" si="0"/>
        <v>0.53029507398605347</v>
      </c>
      <c r="D37" s="131" t="s">
        <v>367</v>
      </c>
    </row>
    <row r="38" spans="1:4" hidden="1" x14ac:dyDescent="0.25">
      <c r="A38" s="123" t="s">
        <v>369</v>
      </c>
      <c r="B38" s="124">
        <f>B7*365*520*0.1</f>
        <v>56940000</v>
      </c>
      <c r="C38" s="125">
        <f t="shared" si="0"/>
        <v>5.3029507398605347E-2</v>
      </c>
      <c r="D38" s="131" t="s">
        <v>370</v>
      </c>
    </row>
    <row r="39" spans="1:4" hidden="1" x14ac:dyDescent="0.25">
      <c r="A39" s="123" t="s">
        <v>371</v>
      </c>
      <c r="B39" s="129">
        <f>365 * B17*B18*495.23</f>
        <v>18075895</v>
      </c>
      <c r="C39" s="130">
        <f t="shared" si="0"/>
        <v>1.6834489069879055E-2</v>
      </c>
      <c r="D39" s="126" t="s">
        <v>372</v>
      </c>
    </row>
    <row r="40" spans="1:4" hidden="1" x14ac:dyDescent="0.25">
      <c r="A40" s="123" t="s">
        <v>373</v>
      </c>
      <c r="B40" s="129">
        <f>B7*99.45*(B9+B9*2+B9*2)*2</f>
        <v>44752500</v>
      </c>
      <c r="C40" s="130">
        <f t="shared" si="0"/>
        <v>4.1679013520479202E-2</v>
      </c>
      <c r="D40" s="126" t="s">
        <v>374</v>
      </c>
    </row>
    <row r="41" spans="1:4" hidden="1" x14ac:dyDescent="0.25">
      <c r="A41" s="123" t="s">
        <v>375</v>
      </c>
      <c r="B41" s="124">
        <f>B7*B21*(145.29+IF(B24="Low", 0, 520)+118.67)+B7*365*(118.67+IF(B24="Low", 0, 520)+84.78)</f>
        <v>248909790</v>
      </c>
      <c r="C41" s="125">
        <f t="shared" si="0"/>
        <v>0.23181530646979809</v>
      </c>
      <c r="D41" s="131" t="s">
        <v>376</v>
      </c>
    </row>
    <row r="42" spans="1:4" hidden="1" x14ac:dyDescent="0.25">
      <c r="A42" s="123" t="s">
        <v>377</v>
      </c>
      <c r="B42" s="124">
        <f>B22*B5*82.9</f>
        <v>130716720.00000001</v>
      </c>
      <c r="C42" s="125">
        <f t="shared" si="0"/>
        <v>0.12173943221569063</v>
      </c>
      <c r="D42" s="132" t="s">
        <v>378</v>
      </c>
    </row>
    <row r="43" spans="1:4" hidden="1" x14ac:dyDescent="0.25">
      <c r="A43" s="123" t="s">
        <v>379</v>
      </c>
      <c r="B43" s="124">
        <f>B22*B5*101.04</f>
        <v>159319872</v>
      </c>
      <c r="C43" s="125">
        <f t="shared" si="0"/>
        <v>0.14837819337844849</v>
      </c>
      <c r="D43" s="132" t="s">
        <v>378</v>
      </c>
    </row>
    <row r="44" spans="1:4" hidden="1" x14ac:dyDescent="0.25">
      <c r="A44" s="123" t="s">
        <v>380</v>
      </c>
      <c r="B44" s="124">
        <f>B22*B5*98.04</f>
        <v>154589472</v>
      </c>
      <c r="C44" s="125">
        <f t="shared" si="0"/>
        <v>0.14397266507148743</v>
      </c>
      <c r="D44" s="132" t="s">
        <v>378</v>
      </c>
    </row>
    <row r="45" spans="1:4" hidden="1" x14ac:dyDescent="0.25">
      <c r="A45" s="123" t="s">
        <v>381</v>
      </c>
      <c r="B45" s="124">
        <f>B10*2*B11*925.89</f>
        <v>277767</v>
      </c>
      <c r="C45" s="125">
        <f t="shared" si="0"/>
        <v>2.5869067758321762E-4</v>
      </c>
      <c r="D45" s="133" t="s">
        <v>382</v>
      </c>
    </row>
    <row r="46" spans="1:4" hidden="1" x14ac:dyDescent="0.25">
      <c r="A46" s="123" t="s">
        <v>383</v>
      </c>
      <c r="B46" s="124">
        <f>B12*B13*2*2115.23</f>
        <v>126913.8</v>
      </c>
      <c r="C46" s="125">
        <f t="shared" si="0"/>
        <v>1.1819768697023392E-4</v>
      </c>
      <c r="D46" s="134" t="s">
        <v>384</v>
      </c>
    </row>
    <row r="47" spans="1:4" hidden="1" x14ac:dyDescent="0.25">
      <c r="A47" s="123" t="s">
        <v>385</v>
      </c>
      <c r="B47" s="124">
        <f>B14*96*B15*78.35</f>
        <v>5641200</v>
      </c>
      <c r="C47" s="125">
        <f t="shared" si="0"/>
        <v>5.2537769079208374E-3</v>
      </c>
      <c r="D47" s="134" t="s">
        <v>386</v>
      </c>
    </row>
    <row r="48" spans="1:4" hidden="1" x14ac:dyDescent="0.25">
      <c r="A48" s="135" t="s">
        <v>387</v>
      </c>
      <c r="B48" s="124">
        <f>B15*96*7*78.35</f>
        <v>1579536</v>
      </c>
      <c r="C48" s="125">
        <f t="shared" si="0"/>
        <v>1.4710575342178345E-3</v>
      </c>
      <c r="D48" s="132" t="s">
        <v>388</v>
      </c>
    </row>
    <row r="49" spans="1:4" ht="13.8" hidden="1" thickBot="1" x14ac:dyDescent="0.3">
      <c r="A49" s="136" t="s">
        <v>389</v>
      </c>
      <c r="B49" s="137">
        <f>B6*B10*96.57</f>
        <v>48285</v>
      </c>
      <c r="C49" s="138">
        <f t="shared" si="0"/>
        <v>4.496891051530838E-5</v>
      </c>
      <c r="D49" s="139" t="s">
        <v>390</v>
      </c>
    </row>
    <row r="50" spans="1:4" ht="13.8" hidden="1" thickBot="1" x14ac:dyDescent="0.3"/>
    <row r="51" spans="1:4" x14ac:dyDescent="0.25">
      <c r="A51" s="120" t="s">
        <v>391</v>
      </c>
      <c r="B51" s="140" t="s">
        <v>348</v>
      </c>
      <c r="C51" s="122" t="s">
        <v>349</v>
      </c>
    </row>
    <row r="52" spans="1:4" x14ac:dyDescent="0.25">
      <c r="A52" s="128" t="s">
        <v>392</v>
      </c>
      <c r="B52" s="129">
        <f>SUM(B27:B49)</f>
        <v>6953362705.25</v>
      </c>
      <c r="C52" s="141">
        <f>B52/1024/1024/1024</f>
        <v>6.4758236568886787</v>
      </c>
    </row>
    <row r="53" spans="1:4" x14ac:dyDescent="0.25">
      <c r="A53" s="128" t="s">
        <v>393</v>
      </c>
      <c r="B53" s="129">
        <f>B52*2</f>
        <v>13906725410.5</v>
      </c>
      <c r="C53" s="141">
        <f>B53/1024/1024/1024</f>
        <v>12.951647313777357</v>
      </c>
    </row>
    <row r="54" spans="1:4" x14ac:dyDescent="0.25">
      <c r="A54" s="128" t="s">
        <v>394</v>
      </c>
      <c r="B54" s="129">
        <f>B52*3</f>
        <v>20860088115.75</v>
      </c>
      <c r="C54" s="141">
        <f>B54/1024/1024/1024</f>
        <v>19.427470970666036</v>
      </c>
    </row>
    <row r="55" spans="1:4" ht="13.8" thickBot="1" x14ac:dyDescent="0.3">
      <c r="A55" s="142" t="s">
        <v>395</v>
      </c>
      <c r="B55" s="143">
        <f>B52*4</f>
        <v>27813450821</v>
      </c>
      <c r="C55" s="144">
        <f>B55/1024/1024/1024</f>
        <v>25.903294627554715</v>
      </c>
    </row>
    <row r="58" spans="1:4" x14ac:dyDescent="0.25">
      <c r="C58" s="145" t="s">
        <v>396</v>
      </c>
      <c r="D58" s="146" t="s">
        <v>400</v>
      </c>
    </row>
  </sheetData>
  <phoneticPr fontId="4"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51"/>
  <sheetViews>
    <sheetView workbookViewId="0">
      <selection activeCell="B53" sqref="B53"/>
    </sheetView>
  </sheetViews>
  <sheetFormatPr defaultRowHeight="13.2" x14ac:dyDescent="0.25"/>
  <cols>
    <col min="1" max="1" width="29.88671875" customWidth="1"/>
    <col min="2" max="2" width="19.44140625" customWidth="1"/>
    <col min="3" max="3" width="17" customWidth="1"/>
    <col min="4" max="4" width="20" customWidth="1"/>
    <col min="5" max="5" width="19.109375" customWidth="1"/>
    <col min="6" max="6" width="19.6640625" customWidth="1"/>
    <col min="7" max="7" width="15.33203125" customWidth="1"/>
    <col min="8" max="8" width="53.33203125" customWidth="1"/>
  </cols>
  <sheetData>
    <row r="1" spans="1:9" x14ac:dyDescent="0.25">
      <c r="A1" s="61" t="s">
        <v>112</v>
      </c>
      <c r="B1" s="61" t="s">
        <v>113</v>
      </c>
      <c r="C1" s="61" t="s">
        <v>114</v>
      </c>
      <c r="D1" s="61" t="s">
        <v>115</v>
      </c>
      <c r="E1" s="61" t="s">
        <v>116</v>
      </c>
      <c r="F1" s="61" t="s">
        <v>117</v>
      </c>
      <c r="G1" s="61" t="s">
        <v>118</v>
      </c>
      <c r="H1" s="62" t="s">
        <v>119</v>
      </c>
    </row>
    <row r="2" spans="1:9" x14ac:dyDescent="0.25">
      <c r="A2" t="s">
        <v>120</v>
      </c>
      <c r="B2" t="e">
        <f>IconRowSizes!M48</f>
        <v>#REF!</v>
      </c>
      <c r="C2" s="57" t="e">
        <f>IF(VLOOKUP(#REF!,#REF!,2,FALSE), C19*#REF!, 0)</f>
        <v>#REF!</v>
      </c>
      <c r="D2" s="57" t="e">
        <f t="shared" ref="D2:D36" si="0">$B$50*CEILING($G2/FLOOR($B$48/$B2,1),1)</f>
        <v>#REF!</v>
      </c>
      <c r="E2" s="57" t="e">
        <f>$B$50*IF(IconRowSizes!$N48, CEILING($G2/FLOOR($B$49/IconRowSizes!$N48,1),1),0) + IF(IconRowSizes!$O48, $B$50*CEILING($G2/FLOOR($B$49/IconRowSizes!$O48,1),1),0) + IF(IconRowSizes!$P48, $B$50*CEILING($G2/FLOOR($B$49/IconRowSizes!$P48,1),1),0) + IF(IconRowSizes!$Q48, $B$50*CEILING($G2/FLOOR($B$49/IconRowSizes!$Q48,1),1),0) + IF(IconRowSizes!$R48, $B$50*CEILING($G2/FLOOR($B$49/IconRowSizes!$R48,1),1),0) + IF(IconRowSizes!$S48, $B$50*CEILING($G2/FLOOR($B$49/IconRowSizes!$S48,1),1),0)</f>
        <v>#REF!</v>
      </c>
      <c r="F2" s="57" t="e">
        <f>SUM(D2:E2)</f>
        <v>#REF!</v>
      </c>
      <c r="G2" s="57" t="e">
        <f>$C2*#REF!</f>
        <v>#REF!</v>
      </c>
      <c r="I2" t="s">
        <v>108</v>
      </c>
    </row>
    <row r="3" spans="1:9" x14ac:dyDescent="0.25">
      <c r="A3" t="s">
        <v>121</v>
      </c>
      <c r="B3" t="e">
        <f>IconRowSizes!M49</f>
        <v>#REF!</v>
      </c>
      <c r="C3" t="e">
        <f>IF(VLOOKUP(#REF!,#REF!,2,FALSE), 5*C4, 0)</f>
        <v>#REF!</v>
      </c>
      <c r="D3" s="57" t="e">
        <f t="shared" si="0"/>
        <v>#REF!</v>
      </c>
      <c r="E3" s="57" t="e">
        <f>$B$50*IF(IconRowSizes!$N49, CEILING($G3/FLOOR($B$49/IconRowSizes!$N49,1),1),0) + IF(IconRowSizes!$O49, $B$50*CEILING($G3/FLOOR($B$49/IconRowSizes!$O49,1),1),0) + IF(IconRowSizes!$P49, $B$50*CEILING($G3/FLOOR($B$49/IconRowSizes!$P49,1),1),0) + IF(IconRowSizes!$Q49, $B$50*CEILING($G3/FLOOR($B$49/IconRowSizes!$Q49,1),1),0) + IF(IconRowSizes!$R49, $B$50*CEILING($G3/FLOOR($B$49/IconRowSizes!$R49,1),1),0) + IF(IconRowSizes!$S49, $B$50*CEILING($G3/FLOOR($B$49/IconRowSizes!$S49,1),1),0)</f>
        <v>#REF!</v>
      </c>
      <c r="F3" s="57" t="e">
        <f t="shared" ref="F3:F39" si="1">SUM(D3:E3)</f>
        <v>#REF!</v>
      </c>
      <c r="G3" s="57" t="e">
        <f>$C3*#REF!</f>
        <v>#REF!</v>
      </c>
      <c r="H3" s="63"/>
    </row>
    <row r="4" spans="1:9" x14ac:dyDescent="0.25">
      <c r="A4" t="s">
        <v>122</v>
      </c>
      <c r="B4" t="e">
        <f>IconRowSizes!M50</f>
        <v>#REF!</v>
      </c>
      <c r="C4" s="57" t="e">
        <f>IF(VLOOKUP(#REF!,#REF!,2,FALSE),C19*#REF!+#REF!,0)</f>
        <v>#REF!</v>
      </c>
      <c r="D4" s="57" t="e">
        <f t="shared" si="0"/>
        <v>#REF!</v>
      </c>
      <c r="E4" s="57" t="e">
        <f>$B$50*IF(IconRowSizes!$N50, CEILING($G4/FLOOR($B$49/IconRowSizes!$N50,1),1),0) + IF(IconRowSizes!$O50, $B$50*CEILING($G4/FLOOR($B$49/IconRowSizes!$O50,1),1),0) + IF(IconRowSizes!$P50, $B$50*CEILING($G4/FLOOR($B$49/IconRowSizes!$P50,1),1),0) + IF(IconRowSizes!$Q50, $B$50*CEILING($G4/FLOOR($B$49/IconRowSizes!$Q50,1),1),0) + IF(IconRowSizes!$R50, $B$50*CEILING($G4/FLOOR($B$49/IconRowSizes!$R50,1),1),0) + IF(IconRowSizes!$S50, $B$50*CEILING($G4/FLOOR($B$49/IconRowSizes!$S50,1),1),0)</f>
        <v>#REF!</v>
      </c>
      <c r="F4" s="57" t="e">
        <f t="shared" si="1"/>
        <v>#REF!</v>
      </c>
      <c r="G4" s="57" t="e">
        <f>$C4*#REF!</f>
        <v>#REF!</v>
      </c>
      <c r="H4" s="63"/>
    </row>
    <row r="5" spans="1:9" x14ac:dyDescent="0.25">
      <c r="A5" t="s">
        <v>123</v>
      </c>
      <c r="B5" t="e">
        <f>IconRowSizes!M51</f>
        <v>#REF!</v>
      </c>
      <c r="C5" s="57" t="e">
        <f>IF(VLOOKUP(#REF!,#REF!,2,FALSE),C4*(2*#REF! + 2 +#REF! *#REF!) + C19*#REF!,0)</f>
        <v>#REF!</v>
      </c>
      <c r="D5" s="57" t="e">
        <f t="shared" si="0"/>
        <v>#REF!</v>
      </c>
      <c r="E5" s="57" t="e">
        <f>$B$50*IF(IconRowSizes!$N51, CEILING($G5/FLOOR($B$49/IconRowSizes!$N51,1),1),0) + IF(IconRowSizes!$O51, $B$50*CEILING($G5/FLOOR($B$49/IconRowSizes!$O51,1),1),0) + IF(IconRowSizes!$P51, $B$50*CEILING($G5/FLOOR($B$49/IconRowSizes!$P51,1),1),0) + IF(IconRowSizes!$Q51, $B$50*CEILING($G5/FLOOR($B$49/IconRowSizes!$Q51,1),1),0) + IF(IconRowSizes!$R51, $B$50*CEILING($G5/FLOOR($B$49/IconRowSizes!$R51,1),1),0) + IF(IconRowSizes!$S51, $B$50*CEILING($G5/FLOOR($B$49/IconRowSizes!$S51,1),1),0)</f>
        <v>#REF!</v>
      </c>
      <c r="F5" s="57" t="e">
        <f t="shared" si="1"/>
        <v>#REF!</v>
      </c>
      <c r="G5" s="57" t="e">
        <f>$C5*#REF!</f>
        <v>#REF!</v>
      </c>
      <c r="H5" s="63"/>
    </row>
    <row r="6" spans="1:9" x14ac:dyDescent="0.25">
      <c r="A6" t="s">
        <v>124</v>
      </c>
      <c r="B6" t="e">
        <f>IconRowSizes!M52</f>
        <v>#REF!</v>
      </c>
      <c r="C6" t="e">
        <f>IF(VLOOKUP(#REF!,#REF!,2,FALSE),ROUND(C5/C4,0),0)</f>
        <v>#REF!</v>
      </c>
      <c r="D6" s="57" t="e">
        <f t="shared" si="0"/>
        <v>#REF!</v>
      </c>
      <c r="E6" s="57" t="e">
        <f>$B$50*IF(IconRowSizes!$N52, CEILING($G6/FLOOR($B$49/IconRowSizes!$N52,1),1),0) + IF(IconRowSizes!$O52, $B$50*CEILING($G6/FLOOR($B$49/IconRowSizes!$O52,1),1),0) + IF(IconRowSizes!$P52, $B$50*CEILING($G6/FLOOR($B$49/IconRowSizes!$P52,1),1),0) + IF(IconRowSizes!$Q52, $B$50*CEILING($G6/FLOOR($B$49/IconRowSizes!$Q52,1),1),0) + IF(IconRowSizes!$R52, $B$50*CEILING($G6/FLOOR($B$49/IconRowSizes!$R52,1),1),0) + IF(IconRowSizes!$S52, $B$50*CEILING($G6/FLOOR($B$49/IconRowSizes!$S52,1),1),0)</f>
        <v>#REF!</v>
      </c>
      <c r="F6" s="57" t="e">
        <f t="shared" si="1"/>
        <v>#REF!</v>
      </c>
      <c r="G6" s="57" t="e">
        <f>$C6*#REF!</f>
        <v>#REF!</v>
      </c>
      <c r="H6" s="63"/>
    </row>
    <row r="7" spans="1:9" x14ac:dyDescent="0.25">
      <c r="A7" t="s">
        <v>125</v>
      </c>
      <c r="B7" t="e">
        <f>IconRowSizes!M53</f>
        <v>#REF!</v>
      </c>
      <c r="C7" s="57" t="e">
        <f>IF(VLOOKUP(#REF!,#REF!,2,FALSE),C15,0)</f>
        <v>#REF!</v>
      </c>
      <c r="D7" s="57" t="e">
        <f t="shared" si="0"/>
        <v>#REF!</v>
      </c>
      <c r="E7" s="57" t="e">
        <f>$B$50*IF(IconRowSizes!$N53, CEILING($G7/FLOOR($B$49/IconRowSizes!$N53,1),1),0) + IF(IconRowSizes!$O53, $B$50*CEILING($G7/FLOOR($B$49/IconRowSizes!$O53,1),1),0) + IF(IconRowSizes!$P53, $B$50*CEILING($G7/FLOOR($B$49/IconRowSizes!$P53,1),1),0) + IF(IconRowSizes!$Q53, $B$50*CEILING($G7/FLOOR($B$49/IconRowSizes!$Q53,1),1),0) + IF(IconRowSizes!$R53, $B$50*CEILING($G7/FLOOR($B$49/IconRowSizes!$R53,1),1),0) + IF(IconRowSizes!$S53, $B$50*CEILING($G7/FLOOR($B$49/IconRowSizes!$S53,1),1),0)</f>
        <v>#REF!</v>
      </c>
      <c r="F7" s="57" t="e">
        <f t="shared" si="1"/>
        <v>#REF!</v>
      </c>
      <c r="G7" s="57" t="e">
        <f>$C7*#REF!</f>
        <v>#REF!</v>
      </c>
    </row>
    <row r="8" spans="1:9" x14ac:dyDescent="0.25">
      <c r="A8" t="s">
        <v>126</v>
      </c>
      <c r="B8" t="e">
        <f>IconRowSizes!M54</f>
        <v>#REF!</v>
      </c>
      <c r="C8" s="57" t="e">
        <f>IF(VLOOKUP(#REF!,#REF!,2,FALSE),2*C7,0)</f>
        <v>#REF!</v>
      </c>
      <c r="D8" s="57" t="e">
        <f t="shared" si="0"/>
        <v>#REF!</v>
      </c>
      <c r="E8" s="57" t="e">
        <f>$B$50*IF(IconRowSizes!$N54, CEILING($G8/FLOOR($B$49/IconRowSizes!$N54,1),1),0) + IF(IconRowSizes!$O54, $B$50*CEILING($G8/FLOOR($B$49/IconRowSizes!$O54,1),1),0) + IF(IconRowSizes!$P54, $B$50*CEILING($G8/FLOOR($B$49/IconRowSizes!$P54,1),1),0) + IF(IconRowSizes!$Q54, $B$50*CEILING($G8/FLOOR($B$49/IconRowSizes!$Q54,1),1),0) + IF(IconRowSizes!$R54, $B$50*CEILING($G8/FLOOR($B$49/IconRowSizes!$R54,1),1),0) + IF(IconRowSizes!$S54, $B$50*CEILING($G8/FLOOR($B$49/IconRowSizes!$S54,1),1),0)</f>
        <v>#REF!</v>
      </c>
      <c r="F8" s="57" t="e">
        <f t="shared" si="1"/>
        <v>#REF!</v>
      </c>
      <c r="G8" s="57" t="e">
        <f>$C8*#REF!</f>
        <v>#REF!</v>
      </c>
    </row>
    <row r="9" spans="1:9" x14ac:dyDescent="0.25">
      <c r="A9" t="s">
        <v>127</v>
      </c>
      <c r="B9" t="e">
        <f>IconRowSizes!M55</f>
        <v>#REF!</v>
      </c>
      <c r="C9" s="57" t="e">
        <f>C7</f>
        <v>#REF!</v>
      </c>
      <c r="D9" s="57" t="e">
        <f t="shared" si="0"/>
        <v>#REF!</v>
      </c>
      <c r="E9" s="57" t="e">
        <f>$B$50*IF(IconRowSizes!$N55, CEILING($G9/FLOOR($B$49/IconRowSizes!$N55,1),1),0) + IF(IconRowSizes!$O55, $B$50*CEILING($G9/FLOOR($B$49/IconRowSizes!$O55,1),1),0) + IF(IconRowSizes!$P55, $B$50*CEILING($G9/FLOOR($B$49/IconRowSizes!$P55,1),1),0) + IF(IconRowSizes!$Q55, $B$50*CEILING($G9/FLOOR($B$49/IconRowSizes!$Q55,1),1),0) + IF(IconRowSizes!$R55, $B$50*CEILING($G9/FLOOR($B$49/IconRowSizes!$R55,1),1),0) + IF(IconRowSizes!$S55, $B$50*CEILING($G9/FLOOR($B$49/IconRowSizes!$S55,1),1),0)</f>
        <v>#REF!</v>
      </c>
      <c r="F9" s="57" t="e">
        <f t="shared" si="1"/>
        <v>#REF!</v>
      </c>
      <c r="G9" s="57" t="e">
        <f>$C9*#REF!</f>
        <v>#REF!</v>
      </c>
    </row>
    <row r="10" spans="1:9" x14ac:dyDescent="0.25">
      <c r="A10" t="s">
        <v>128</v>
      </c>
      <c r="B10" t="e">
        <f>IconRowSizes!M56</f>
        <v>#REF!</v>
      </c>
      <c r="C10" s="57">
        <v>0</v>
      </c>
      <c r="D10" s="57" t="e">
        <f t="shared" si="0"/>
        <v>#REF!</v>
      </c>
      <c r="E10" s="57" t="e">
        <f>$B$50*IF(IconRowSizes!$N56, CEILING($G10/FLOOR($B$49/IconRowSizes!$N56,1),1),0) + IF(IconRowSizes!$O56, $B$50*CEILING($G10/FLOOR($B$49/IconRowSizes!$O56,1),1),0) + IF(IconRowSizes!$P56, $B$50*CEILING($G10/FLOOR($B$49/IconRowSizes!$P56,1),1),0) + IF(IconRowSizes!$Q56, $B$50*CEILING($G10/FLOOR($B$49/IconRowSizes!$Q56,1),1),0) + IF(IconRowSizes!$R56, $B$50*CEILING($G10/FLOOR($B$49/IconRowSizes!$R56,1),1),0) + IF(IconRowSizes!$S56, $B$50*CEILING($G10/FLOOR($B$49/IconRowSizes!$S56,1),1),0)</f>
        <v>#REF!</v>
      </c>
      <c r="F10" s="57" t="e">
        <f>SUM(D10:E10)</f>
        <v>#REF!</v>
      </c>
      <c r="G10" s="57" t="e">
        <f>$C10*#REF!</f>
        <v>#REF!</v>
      </c>
    </row>
    <row r="11" spans="1:9" x14ac:dyDescent="0.25">
      <c r="A11" t="s">
        <v>129</v>
      </c>
      <c r="B11" t="e">
        <f>IconRowSizes!M57</f>
        <v>#REF!</v>
      </c>
      <c r="C11" s="57">
        <v>0</v>
      </c>
      <c r="D11" s="57" t="e">
        <f t="shared" si="0"/>
        <v>#REF!</v>
      </c>
      <c r="E11" s="57" t="e">
        <f>$B$50*IF(IconRowSizes!$N57, CEILING($G11/FLOOR($B$49/IconRowSizes!$N57,1),1),0) + IF(IconRowSizes!$O57, $B$50*CEILING($G11/FLOOR($B$49/IconRowSizes!$O57,1),1),0) + IF(IconRowSizes!$P57, $B$50*CEILING($G11/FLOOR($B$49/IconRowSizes!$P57,1),1),0) + IF(IconRowSizes!$Q57, $B$50*CEILING($G11/FLOOR($B$49/IconRowSizes!$Q57,1),1),0) + IF(IconRowSizes!$R57, $B$50*CEILING($G11/FLOOR($B$49/IconRowSizes!$R57,1),1),0) + IF(IconRowSizes!$S57, $B$50*CEILING($G11/FLOOR($B$49/IconRowSizes!$S57,1),1),0)</f>
        <v>#REF!</v>
      </c>
      <c r="F11" s="57" t="e">
        <f t="shared" si="1"/>
        <v>#REF!</v>
      </c>
      <c r="G11" s="57" t="e">
        <f>$C11*#REF!</f>
        <v>#REF!</v>
      </c>
    </row>
    <row r="12" spans="1:9" x14ac:dyDescent="0.25">
      <c r="A12" t="s">
        <v>130</v>
      </c>
      <c r="B12" t="e">
        <f>IconRowSizes!M58</f>
        <v>#REF!</v>
      </c>
      <c r="C12" s="57">
        <v>0</v>
      </c>
      <c r="D12" s="57" t="e">
        <f t="shared" si="0"/>
        <v>#REF!</v>
      </c>
      <c r="E12" s="57" t="e">
        <f>$B$50*IF(IconRowSizes!$N58, CEILING($G12/FLOOR($B$49/IconRowSizes!$N58,1),1),0) + IF(IconRowSizes!$O58, $B$50*CEILING($G12/FLOOR($B$49/IconRowSizes!$O58,1),1),0) + IF(IconRowSizes!$P58, $B$50*CEILING($G12/FLOOR($B$49/IconRowSizes!$P58,1),1),0) + IF(IconRowSizes!$Q58, $B$50*CEILING($G12/FLOOR($B$49/IconRowSizes!$Q58,1),1),0) + IF(IconRowSizes!$R58, $B$50*CEILING($G12/FLOOR($B$49/IconRowSizes!$R58,1),1),0) + IF(IconRowSizes!$S58, $B$50*CEILING($G12/FLOOR($B$49/IconRowSizes!$S58,1),1),0)</f>
        <v>#REF!</v>
      </c>
      <c r="F12" s="57" t="e">
        <f t="shared" si="1"/>
        <v>#REF!</v>
      </c>
      <c r="G12" s="57" t="e">
        <f>$C12*#REF!</f>
        <v>#REF!</v>
      </c>
    </row>
    <row r="13" spans="1:9" x14ac:dyDescent="0.25">
      <c r="A13" t="s">
        <v>131</v>
      </c>
      <c r="B13" t="e">
        <f>IconRowSizes!M59</f>
        <v>#REF!</v>
      </c>
      <c r="C13" s="57">
        <v>0</v>
      </c>
      <c r="D13" s="57" t="e">
        <f t="shared" si="0"/>
        <v>#REF!</v>
      </c>
      <c r="E13" s="57" t="e">
        <f>$B$50*IF(IconRowSizes!$N59, CEILING($G13/FLOOR($B$49/IconRowSizes!$N59,1),1),0) + IF(IconRowSizes!$O59, $B$50*CEILING($G13/FLOOR($B$49/IconRowSizes!$O59,1),1),0) + IF(IconRowSizes!$P59, $B$50*CEILING($G13/FLOOR($B$49/IconRowSizes!$P59,1),1),0) + IF(IconRowSizes!$Q59, $B$50*CEILING($G13/FLOOR($B$49/IconRowSizes!$Q59,1),1),0) + IF(IconRowSizes!$R59, $B$50*CEILING($G13/FLOOR($B$49/IconRowSizes!$R59,1),1),0) + IF(IconRowSizes!$S59, $B$50*CEILING($G13/FLOOR($B$49/IconRowSizes!$S59,1),1),0)</f>
        <v>#REF!</v>
      </c>
      <c r="F13" s="57" t="e">
        <f t="shared" si="1"/>
        <v>#REF!</v>
      </c>
      <c r="G13" s="57"/>
    </row>
    <row r="14" spans="1:9" x14ac:dyDescent="0.25">
      <c r="A14" t="s">
        <v>132</v>
      </c>
      <c r="B14" t="e">
        <f>IconRowSizes!M60</f>
        <v>#REF!</v>
      </c>
      <c r="C14" s="57" t="e">
        <f>IF(VLOOKUP(#REF!,#REF!,2,FALSE),#REF!,0)</f>
        <v>#REF!</v>
      </c>
      <c r="D14" s="57" t="e">
        <f t="shared" si="0"/>
        <v>#REF!</v>
      </c>
      <c r="E14" s="57" t="e">
        <f>$B$50*IF(IconRowSizes!$N60, CEILING($G14/FLOOR($B$49/IconRowSizes!$N60,1),1),0) + IF(IconRowSizes!$O60, $B$50*CEILING($G14/FLOOR($B$49/IconRowSizes!$O60,1),1),0) + IF(IconRowSizes!$P60, $B$50*CEILING($G14/FLOOR($B$49/IconRowSizes!$P60,1),1),0) + IF(IconRowSizes!$Q60, $B$50*CEILING($G14/FLOOR($B$49/IconRowSizes!$Q60,1),1),0) + IF(IconRowSizes!$R60, $B$50*CEILING($G14/FLOOR($B$49/IconRowSizes!$R60,1),1),0) + IF(IconRowSizes!$S60, $B$50*CEILING($G14/FLOOR($B$49/IconRowSizes!$S60,1),1),0)</f>
        <v>#REF!</v>
      </c>
      <c r="F14" s="57" t="e">
        <f t="shared" si="1"/>
        <v>#REF!</v>
      </c>
      <c r="G14" s="57" t="e">
        <f>$C14*#REF!</f>
        <v>#REF!</v>
      </c>
      <c r="H14" s="59" t="s">
        <v>133</v>
      </c>
    </row>
    <row r="15" spans="1:9" x14ac:dyDescent="0.25">
      <c r="A15" t="s">
        <v>134</v>
      </c>
      <c r="B15" t="e">
        <f>IconRowSizes!M61</f>
        <v>#REF!</v>
      </c>
      <c r="C15" s="57" t="e">
        <f>IF(VLOOKUP(#REF!,#REF!,2,FALSE),#REF!*(#REF! +#REF!),0)</f>
        <v>#REF!</v>
      </c>
      <c r="D15" s="57" t="e">
        <f t="shared" si="0"/>
        <v>#REF!</v>
      </c>
      <c r="E15" s="57" t="e">
        <f>$B$50*IF(IconRowSizes!$N61, CEILING($G15/FLOOR($B$49/IconRowSizes!$N61,1),1),0) + IF(IconRowSizes!$O61, $B$50*CEILING($G15/FLOOR($B$49/IconRowSizes!$O61,1),1),0) + IF(IconRowSizes!$P61, $B$50*CEILING($G15/FLOOR($B$49/IconRowSizes!$P61,1),1),0) + IF(IconRowSizes!$Q61, $B$50*CEILING($G15/FLOOR($B$49/IconRowSizes!$Q61,1),1),0) + IF(IconRowSizes!$R61, $B$50*CEILING($G15/FLOOR($B$49/IconRowSizes!$R61,1),1),0) + IF(IconRowSizes!$S61, $B$50*CEILING($G15/FLOOR($B$49/IconRowSizes!$S61,1),1),0)</f>
        <v>#REF!</v>
      </c>
      <c r="F15" s="57" t="e">
        <f t="shared" si="1"/>
        <v>#REF!</v>
      </c>
      <c r="G15" s="57" t="e">
        <f>$C15*#REF!</f>
        <v>#REF!</v>
      </c>
    </row>
    <row r="16" spans="1:9" x14ac:dyDescent="0.25">
      <c r="A16" t="s">
        <v>135</v>
      </c>
      <c r="B16" t="e">
        <f>IconRowSizes!M62</f>
        <v>#REF!</v>
      </c>
      <c r="C16" s="57" t="e">
        <f>IF(VLOOKUP(#REF!,#REF!,2,FALSE),2*C15 +#REF! *#REF!,0)</f>
        <v>#REF!</v>
      </c>
      <c r="D16" s="57" t="e">
        <f t="shared" si="0"/>
        <v>#REF!</v>
      </c>
      <c r="E16" s="57" t="e">
        <f>$B$50*IF(IconRowSizes!$N62, CEILING($G16/FLOOR($B$49/IconRowSizes!$N62,1),1),0) + IF(IconRowSizes!$O62, $B$50*CEILING($G16/FLOOR($B$49/IconRowSizes!$O62,1),1),0) + IF(IconRowSizes!$P62, $B$50*CEILING($G16/FLOOR($B$49/IconRowSizes!$P62,1),1),0) + IF(IconRowSizes!$Q62, $B$50*CEILING($G16/FLOOR($B$49/IconRowSizes!$Q62,1),1),0) + IF(IconRowSizes!$R62, $B$50*CEILING($G16/FLOOR($B$49/IconRowSizes!$R62,1),1),0) + IF(IconRowSizes!$S62, $B$50*CEILING($G16/FLOOR($B$49/IconRowSizes!$S62,1),1),0)</f>
        <v>#REF!</v>
      </c>
      <c r="F16" s="57" t="e">
        <f t="shared" si="1"/>
        <v>#REF!</v>
      </c>
      <c r="G16" s="57" t="e">
        <f>$C16*#REF!</f>
        <v>#REF!</v>
      </c>
    </row>
    <row r="17" spans="1:8" x14ac:dyDescent="0.25">
      <c r="A17" t="s">
        <v>136</v>
      </c>
      <c r="B17" t="e">
        <f>IconRowSizes!M63</f>
        <v>#REF!</v>
      </c>
      <c r="C17" s="57" t="e">
        <f>IF(VLOOKUP(#REF!,#REF!,2,FALSE),MAX(2*#REF!*(#REF!-1),0),0)</f>
        <v>#REF!</v>
      </c>
      <c r="D17" s="57" t="e">
        <f t="shared" si="0"/>
        <v>#REF!</v>
      </c>
      <c r="E17" s="57" t="e">
        <f>$B$50*IF(IconRowSizes!$N63, CEILING($G17/FLOOR($B$49/IconRowSizes!$N63,1),1),0) + IF(IconRowSizes!$O63, $B$50*CEILING($G17/FLOOR($B$49/IconRowSizes!$O63,1),1),0) + IF(IconRowSizes!$P63, $B$50*CEILING($G17/FLOOR($B$49/IconRowSizes!$P63,1),1),0) + IF(IconRowSizes!$Q63, $B$50*CEILING($G17/FLOOR($B$49/IconRowSizes!$Q63,1),1),0) + IF(IconRowSizes!$R63, $B$50*CEILING($G17/FLOOR($B$49/IconRowSizes!$R63,1),1),0) + IF(IconRowSizes!$S63, $B$50*CEILING($G17/FLOOR($B$49/IconRowSizes!$S63,1),1),0)</f>
        <v>#REF!</v>
      </c>
      <c r="F17" s="57" t="e">
        <f t="shared" si="1"/>
        <v>#REF!</v>
      </c>
      <c r="G17" s="57" t="e">
        <f>$C17*#REF!</f>
        <v>#REF!</v>
      </c>
    </row>
    <row r="18" spans="1:8" x14ac:dyDescent="0.25">
      <c r="A18" t="s">
        <v>137</v>
      </c>
      <c r="B18" t="e">
        <f>IconRowSizes!M64</f>
        <v>#REF!</v>
      </c>
      <c r="C18" s="57" t="e">
        <f>IF(VLOOKUP(#REF!,#REF!,2,FALSE),C17,0)</f>
        <v>#REF!</v>
      </c>
      <c r="D18" s="57" t="e">
        <f t="shared" si="0"/>
        <v>#REF!</v>
      </c>
      <c r="E18" s="57" t="e">
        <f>$B$50*IF(IconRowSizes!$N64, CEILING($G18/FLOOR($B$49/IconRowSizes!$N64,1),1),0) + IF(IconRowSizes!$O64, $B$50*CEILING($G18/FLOOR($B$49/IconRowSizes!$O64,1),1),0) + IF(IconRowSizes!$P64, $B$50*CEILING($G18/FLOOR($B$49/IconRowSizes!$P64,1),1),0) + IF(IconRowSizes!$Q64, $B$50*CEILING($G18/FLOOR($B$49/IconRowSizes!$Q64,1),1),0) + IF(IconRowSizes!$R64, $B$50*CEILING($G18/FLOOR($B$49/IconRowSizes!$R64,1),1),0) + IF(IconRowSizes!$S64, $B$50*CEILING($G18/FLOOR($B$49/IconRowSizes!$S64,1),1),0)</f>
        <v>#REF!</v>
      </c>
      <c r="F18" s="57" t="e">
        <f t="shared" si="1"/>
        <v>#REF!</v>
      </c>
      <c r="G18" s="57" t="e">
        <f>$C18*#REF!</f>
        <v>#REF!</v>
      </c>
    </row>
    <row r="19" spans="1:8" x14ac:dyDescent="0.25">
      <c r="A19" t="s">
        <v>138</v>
      </c>
      <c r="B19" t="e">
        <f>IconRowSizes!M65</f>
        <v>#REF!</v>
      </c>
      <c r="C19" s="57" t="e">
        <f>IF(VLOOKUP(#REF!,#REF!,2,FALSE),#REF!*#REF!,0)</f>
        <v>#REF!</v>
      </c>
      <c r="D19" s="57" t="e">
        <f t="shared" si="0"/>
        <v>#REF!</v>
      </c>
      <c r="E19" s="57" t="e">
        <f>$B$50*IF(IconRowSizes!$N65, CEILING($G19/FLOOR($B$49/IconRowSizes!$N65,1),1),0) + IF(IconRowSizes!$O65, $B$50*CEILING($G19/FLOOR($B$49/IconRowSizes!$O65,1),1),0) + IF(IconRowSizes!$P65, $B$50*CEILING($G19/FLOOR($B$49/IconRowSizes!$P65,1),1),0) + IF(IconRowSizes!$Q65, $B$50*CEILING($G19/FLOOR($B$49/IconRowSizes!$Q65,1),1),0) + IF(IconRowSizes!$R65, $B$50*CEILING($G19/FLOOR($B$49/IconRowSizes!$R65,1),1),0) + IF(IconRowSizes!$S65, $B$50*CEILING($G19/FLOOR($B$49/IconRowSizes!$S65,1),1),0)</f>
        <v>#REF!</v>
      </c>
      <c r="F19" s="57" t="e">
        <f t="shared" si="1"/>
        <v>#REF!</v>
      </c>
      <c r="G19" s="57" t="e">
        <f>$C19*#REF!</f>
        <v>#REF!</v>
      </c>
    </row>
    <row r="20" spans="1:8" x14ac:dyDescent="0.25">
      <c r="A20" t="s">
        <v>139</v>
      </c>
      <c r="B20" t="e">
        <f>IconRowSizes!M66</f>
        <v>#REF!</v>
      </c>
      <c r="C20" s="57" t="e">
        <f>IF(VLOOKUP(#REF!,#REF!,2,FALSE),2*C7 +#REF!*(#REF! +#REF!),0)</f>
        <v>#REF!</v>
      </c>
      <c r="D20" s="57" t="e">
        <f t="shared" si="0"/>
        <v>#REF!</v>
      </c>
      <c r="E20" s="57" t="e">
        <f>$B$50*IF(IconRowSizes!$N66, CEILING($G20/FLOOR($B$49/IconRowSizes!$N66,1),1),0) + IF(IconRowSizes!$O66, $B$50*CEILING($G20/FLOOR($B$49/IconRowSizes!$O66,1),1),0) + IF(IconRowSizes!$P66, $B$50*CEILING($G20/FLOOR($B$49/IconRowSizes!$P66,1),1),0) + IF(IconRowSizes!$Q66, $B$50*CEILING($G20/FLOOR($B$49/IconRowSizes!$Q66,1),1),0) + IF(IconRowSizes!$R66, $B$50*CEILING($G20/FLOOR($B$49/IconRowSizes!$R66,1),1),0) + IF(IconRowSizes!$S66, $B$50*CEILING($G20/FLOOR($B$49/IconRowSizes!$S66,1),1),0)</f>
        <v>#REF!</v>
      </c>
      <c r="F20" s="57" t="e">
        <f t="shared" si="1"/>
        <v>#REF!</v>
      </c>
      <c r="G20" s="57" t="e">
        <f>$C20*#REF!</f>
        <v>#REF!</v>
      </c>
    </row>
    <row r="21" spans="1:8" x14ac:dyDescent="0.25">
      <c r="A21" t="s">
        <v>140</v>
      </c>
      <c r="B21" t="e">
        <f>IconRowSizes!M67</f>
        <v>#REF!</v>
      </c>
      <c r="C21" s="57" t="e">
        <f>IF(VLOOKUP(#REF!,#REF!,2,FALSE),3*C20,0)</f>
        <v>#REF!</v>
      </c>
      <c r="D21" s="57" t="e">
        <f t="shared" si="0"/>
        <v>#REF!</v>
      </c>
      <c r="E21" s="57" t="e">
        <f>$B$50*IF(IconRowSizes!$N67, CEILING($G21/FLOOR($B$49/IconRowSizes!$N67,1),1),0) + IF(IconRowSizes!$O67, $B$50*CEILING($G21/FLOOR($B$49/IconRowSizes!$O67,1),1),0) + IF(IconRowSizes!$P67, $B$50*CEILING($G21/FLOOR($B$49/IconRowSizes!$P67,1),1),0) + IF(IconRowSizes!$Q67, $B$50*CEILING($G21/FLOOR($B$49/IconRowSizes!$Q67,1),1),0) + IF(IconRowSizes!$R67, $B$50*CEILING($G21/FLOOR($B$49/IconRowSizes!$R67,1),1),0) + IF(IconRowSizes!$S67, $B$50*CEILING($G21/FLOOR($B$49/IconRowSizes!$S67,1),1),0)</f>
        <v>#REF!</v>
      </c>
      <c r="F21" s="57" t="e">
        <f t="shared" si="1"/>
        <v>#REF!</v>
      </c>
      <c r="G21" s="57" t="e">
        <f>$C21*#REF!</f>
        <v>#REF!</v>
      </c>
    </row>
    <row r="22" spans="1:8" x14ac:dyDescent="0.25">
      <c r="A22" t="s">
        <v>141</v>
      </c>
      <c r="B22" t="e">
        <f>IconRowSizes!M68</f>
        <v>#REF!</v>
      </c>
      <c r="C22" s="57" t="e">
        <f>IF(VLOOKUP(#REF!,#REF!,2,FALSE),C20,0)</f>
        <v>#REF!</v>
      </c>
      <c r="D22" s="57" t="e">
        <f t="shared" si="0"/>
        <v>#REF!</v>
      </c>
      <c r="E22" s="57" t="e">
        <f>$B$50*IF(IconRowSizes!$N68, CEILING($G22/FLOOR($B$49/IconRowSizes!$N68,1),1),0) + IF(IconRowSizes!$O68, $B$50*CEILING($G22/FLOOR($B$49/IconRowSizes!$O68,1),1),0) + IF(IconRowSizes!$P68, $B$50*CEILING($G22/FLOOR($B$49/IconRowSizes!$P68,1),1),0) + IF(IconRowSizes!$Q68, $B$50*CEILING($G22/FLOOR($B$49/IconRowSizes!$Q68,1),1),0) + IF(IconRowSizes!$R68, $B$50*CEILING($G22/FLOOR($B$49/IconRowSizes!$R68,1),1),0) + IF(IconRowSizes!$S68, $B$50*CEILING($G22/FLOOR($B$49/IconRowSizes!$S68,1),1),0)</f>
        <v>#REF!</v>
      </c>
      <c r="F22" s="57" t="e">
        <f t="shared" si="1"/>
        <v>#REF!</v>
      </c>
      <c r="G22" s="57" t="e">
        <f>$C22*#REF!</f>
        <v>#REF!</v>
      </c>
    </row>
    <row r="23" spans="1:8" x14ac:dyDescent="0.25">
      <c r="A23" t="s">
        <v>142</v>
      </c>
      <c r="B23" t="e">
        <f>IconRowSizes!M69</f>
        <v>#REF!</v>
      </c>
      <c r="C23" s="57" t="e">
        <f>IF(VLOOKUP(#REF!,#REF!,2,FALSE),#REF!*#REF!,0)</f>
        <v>#REF!</v>
      </c>
      <c r="D23" s="57" t="e">
        <f t="shared" si="0"/>
        <v>#REF!</v>
      </c>
      <c r="E23" s="57" t="e">
        <f>$B$50*IF(IconRowSizes!$N69, CEILING($G23/FLOOR($B$49/IconRowSizes!$N69,1),1),0) + IF(IconRowSizes!$O69, $B$50*CEILING($G23/FLOOR($B$49/IconRowSizes!$O69,1),1),0) + IF(IconRowSizes!$P69, $B$50*CEILING($G23/FLOOR($B$49/IconRowSizes!$P69,1),1),0) + IF(IconRowSizes!$Q69, $B$50*CEILING($G23/FLOOR($B$49/IconRowSizes!$Q69,1),1),0) + IF(IconRowSizes!$R69, $B$50*CEILING($G23/FLOOR($B$49/IconRowSizes!$R69,1),1),0) + IF(IconRowSizes!$S69, $B$50*CEILING($G23/FLOOR($B$49/IconRowSizes!$S69,1),1),0)</f>
        <v>#REF!</v>
      </c>
      <c r="F23" s="57" t="e">
        <f t="shared" si="1"/>
        <v>#REF!</v>
      </c>
      <c r="G23" s="57" t="e">
        <f>$C23*#REF!</f>
        <v>#REF!</v>
      </c>
    </row>
    <row r="24" spans="1:8" s="64" customFormat="1" x14ac:dyDescent="0.25">
      <c r="A24" s="64" t="s">
        <v>143</v>
      </c>
      <c r="B24" s="64" t="e">
        <f>IconRowSizes!M70</f>
        <v>#REF!</v>
      </c>
      <c r="C24" s="65">
        <v>0</v>
      </c>
      <c r="D24" s="65" t="e">
        <f t="shared" si="0"/>
        <v>#REF!</v>
      </c>
      <c r="E24" s="65" t="e">
        <f>$B$50*IF(IconRowSizes!$N70, CEILING($G24/FLOOR($B$49/IconRowSizes!$N70,1),1),0) + IF(IconRowSizes!$O70, $B$50*CEILING($G24/FLOOR($B$49/IconRowSizes!$O70,1),1),0) + IF(IconRowSizes!$P70, $B$50*CEILING($G24/FLOOR($B$49/IconRowSizes!$P70,1),1),0) + IF(IconRowSizes!$Q70, $B$50*CEILING($G24/FLOOR($B$49/IconRowSizes!$Q70,1),1),0) + IF(IconRowSizes!$R70, $B$50*CEILING($G24/FLOOR($B$49/IconRowSizes!$R70,1),1),0) + IF(IconRowSizes!$S70, $B$50*CEILING($G24/FLOOR($B$49/IconRowSizes!$S70,1),1),0)</f>
        <v>#REF!</v>
      </c>
      <c r="F24" s="65" t="e">
        <f t="shared" si="1"/>
        <v>#REF!</v>
      </c>
      <c r="G24" s="65" t="e">
        <f>$C24*#REF!</f>
        <v>#REF!</v>
      </c>
      <c r="H24" s="64" t="s">
        <v>144</v>
      </c>
    </row>
    <row r="25" spans="1:8" x14ac:dyDescent="0.25">
      <c r="A25" t="s">
        <v>145</v>
      </c>
      <c r="B25" t="e">
        <f>IconRowSizes!M71</f>
        <v>#REF!</v>
      </c>
      <c r="C25" s="57" t="e">
        <f>IF(VLOOKUP(#REF!,#REF!,2,FALSE),C7*#REF!*#REF!,0)</f>
        <v>#REF!</v>
      </c>
      <c r="D25" s="57" t="e">
        <f t="shared" si="0"/>
        <v>#REF!</v>
      </c>
      <c r="E25" s="57" t="e">
        <f>$B$50*IF(IconRowSizes!$N71, CEILING($G25/FLOOR($B$49/IconRowSizes!$N71,1),1),0) + IF(IconRowSizes!$O71, $B$50*CEILING($G25/FLOOR($B$49/IconRowSizes!$O71,1),1),0) + IF(IconRowSizes!$P71, $B$50*CEILING($G25/FLOOR($B$49/IconRowSizes!$P71,1),1),0) + IF(IconRowSizes!$Q71, $B$50*CEILING($G25/FLOOR($B$49/IconRowSizes!$Q71,1),1),0) + IF(IconRowSizes!$R71, $B$50*CEILING($G25/FLOOR($B$49/IconRowSizes!$R71,1),1),0) + IF(IconRowSizes!$S71, $B$50*CEILING($G25/FLOOR($B$49/IconRowSizes!$S71,1),1),0)</f>
        <v>#REF!</v>
      </c>
      <c r="F25" s="57" t="e">
        <f t="shared" si="1"/>
        <v>#REF!</v>
      </c>
      <c r="G25" s="57" t="e">
        <f>$C25*#REF!</f>
        <v>#REF!</v>
      </c>
    </row>
    <row r="26" spans="1:8" x14ac:dyDescent="0.25">
      <c r="A26" t="s">
        <v>146</v>
      </c>
      <c r="B26" t="e">
        <f>IconRowSizes!M72</f>
        <v>#REF!</v>
      </c>
      <c r="C26" t="e">
        <f>#REF!*#REF!</f>
        <v>#REF!</v>
      </c>
      <c r="D26" s="57" t="e">
        <f t="shared" si="0"/>
        <v>#REF!</v>
      </c>
      <c r="E26" s="57" t="e">
        <f>$B$50*IF(IconRowSizes!$N72, CEILING($G26/FLOOR($B$49/IconRowSizes!$N72,1),1),0) + IF(IconRowSizes!$O72, $B$50*CEILING($G26/FLOOR($B$49/IconRowSizes!$O72,1),1),0) + IF(IconRowSizes!$P72, $B$50*CEILING($G26/FLOOR($B$49/IconRowSizes!$P72,1),1),0) + IF(IconRowSizes!$Q72, $B$50*CEILING($G26/FLOOR($B$49/IconRowSizes!$Q72,1),1),0) + IF(IconRowSizes!$R72, $B$50*CEILING($G26/FLOOR($B$49/IconRowSizes!$R72,1),1),0) + IF(IconRowSizes!$S72, $B$50*CEILING($G26/FLOOR($B$49/IconRowSizes!$S72,1),1),0)</f>
        <v>#REF!</v>
      </c>
      <c r="F26" s="57" t="e">
        <f t="shared" si="1"/>
        <v>#REF!</v>
      </c>
      <c r="G26" s="57" t="e">
        <f>$C26*#REF!</f>
        <v>#REF!</v>
      </c>
    </row>
    <row r="27" spans="1:8" x14ac:dyDescent="0.25">
      <c r="A27" t="s">
        <v>147</v>
      </c>
      <c r="B27" t="e">
        <f>IconRowSizes!M73</f>
        <v>#REF!</v>
      </c>
      <c r="C27" s="57" t="e">
        <f>IF(VLOOKUP(#REF!,#REF!,2,FALSE),#REF!,0)</f>
        <v>#REF!</v>
      </c>
      <c r="D27" s="57" t="e">
        <f t="shared" si="0"/>
        <v>#REF!</v>
      </c>
      <c r="E27" s="57" t="e">
        <f>$B$50*IF(IconRowSizes!$N73, CEILING($G27/FLOOR($B$49/IconRowSizes!$N73,1),1),0) + IF(IconRowSizes!$O73, $B$50*CEILING($G27/FLOOR($B$49/IconRowSizes!$O73,1),1),0) + IF(IconRowSizes!$P73, $B$50*CEILING($G27/FLOOR($B$49/IconRowSizes!$P73,1),1),0) + IF(IconRowSizes!$Q73, $B$50*CEILING($G27/FLOOR($B$49/IconRowSizes!$Q73,1),1),0) + IF(IconRowSizes!$R73, $B$50*CEILING($G27/FLOOR($B$49/IconRowSizes!$R73,1),1),0) + IF(IconRowSizes!$S73, $B$50*CEILING($G27/FLOOR($B$49/IconRowSizes!$S73,1),1),0)</f>
        <v>#REF!</v>
      </c>
      <c r="F27" s="57" t="e">
        <f t="shared" si="1"/>
        <v>#REF!</v>
      </c>
      <c r="G27" s="57" t="e">
        <f>$C27*#REF!</f>
        <v>#REF!</v>
      </c>
    </row>
    <row r="28" spans="1:8" x14ac:dyDescent="0.25">
      <c r="A28" t="s">
        <v>148</v>
      </c>
      <c r="B28" t="e">
        <f>IconRowSizes!M74</f>
        <v>#REF!</v>
      </c>
      <c r="C28" s="58" t="e">
        <f>IF(VLOOKUP(#REF!,#REF!,2,FALSE),#REF!,0)</f>
        <v>#REF!</v>
      </c>
      <c r="D28" s="57" t="e">
        <f t="shared" si="0"/>
        <v>#REF!</v>
      </c>
      <c r="E28" s="57" t="e">
        <f>$B$50*IF(IconRowSizes!$N74, CEILING($G28/FLOOR($B$49/IconRowSizes!$N74,1),1),0) + IF(IconRowSizes!$O74, $B$50*CEILING($G28/FLOOR($B$49/IconRowSizes!$O74,1),1),0) + IF(IconRowSizes!$P74, $B$50*CEILING($G28/FLOOR($B$49/IconRowSizes!$P74,1),1),0) + IF(IconRowSizes!$Q74, $B$50*CEILING($G28/FLOOR($B$49/IconRowSizes!$Q74,1),1),0) + IF(IconRowSizes!$R74, $B$50*CEILING($G28/FLOOR($B$49/IconRowSizes!$R74,1),1),0) + IF(IconRowSizes!$S74, $B$50*CEILING($G28/FLOOR($B$49/IconRowSizes!$S74,1),1),0)</f>
        <v>#REF!</v>
      </c>
      <c r="F28" s="57" t="e">
        <f t="shared" si="1"/>
        <v>#REF!</v>
      </c>
      <c r="G28" s="57" t="e">
        <f>$C28*#REF!</f>
        <v>#REF!</v>
      </c>
    </row>
    <row r="29" spans="1:8" x14ac:dyDescent="0.25">
      <c r="A29" t="s">
        <v>149</v>
      </c>
      <c r="B29" t="e">
        <f>IconRowSizes!M75</f>
        <v>#REF!</v>
      </c>
      <c r="C29" t="e">
        <f>IF(VLOOKUP(#REF!,#REF!,2,FALSE),3*C28,0)</f>
        <v>#REF!</v>
      </c>
      <c r="D29" s="57" t="e">
        <f t="shared" si="0"/>
        <v>#REF!</v>
      </c>
      <c r="E29" s="57" t="e">
        <f>$B$50*IF(IconRowSizes!$N75, CEILING($G29/FLOOR($B$49/IconRowSizes!$N75,1),1),0) + IF(IconRowSizes!$O75, $B$50*CEILING($G29/FLOOR($B$49/IconRowSizes!$O75,1),1),0) + IF(IconRowSizes!$P75, $B$50*CEILING($G29/FLOOR($B$49/IconRowSizes!$P75,1),1),0) + IF(IconRowSizes!$Q75, $B$50*CEILING($G29/FLOOR($B$49/IconRowSizes!$Q75,1),1),0) + IF(IconRowSizes!$R75, $B$50*CEILING($G29/FLOOR($B$49/IconRowSizes!$R75,1),1),0) + IF(IconRowSizes!$S75, $B$50*CEILING($G29/FLOOR($B$49/IconRowSizes!$S75,1),1),0)</f>
        <v>#REF!</v>
      </c>
      <c r="F29" s="57" t="e">
        <f t="shared" si="1"/>
        <v>#REF!</v>
      </c>
      <c r="G29" s="57" t="e">
        <f>$C29*#REF!</f>
        <v>#REF!</v>
      </c>
    </row>
    <row r="30" spans="1:8" x14ac:dyDescent="0.25">
      <c r="A30" t="s">
        <v>150</v>
      </c>
      <c r="B30" t="e">
        <f>IconRowSizes!M76</f>
        <v>#REF!</v>
      </c>
      <c r="C30" s="58" t="e">
        <f>IF(VLOOKUP(#REF!,#REF!,2,FALSE),2*C28,0)</f>
        <v>#REF!</v>
      </c>
      <c r="D30" s="57" t="e">
        <f t="shared" si="0"/>
        <v>#REF!</v>
      </c>
      <c r="E30" s="57" t="e">
        <f>$B$50*IF(IconRowSizes!$N76, CEILING($G30/FLOOR($B$49/IconRowSizes!$N76,1),1),0) + IF(IconRowSizes!$O76, $B$50*CEILING($G30/FLOOR($B$49/IconRowSizes!$O76,1),1),0) + IF(IconRowSizes!$P76, $B$50*CEILING($G30/FLOOR($B$49/IconRowSizes!$P76,1),1),0) + IF(IconRowSizes!$Q76, $B$50*CEILING($G30/FLOOR($B$49/IconRowSizes!$Q76,1),1),0) + IF(IconRowSizes!$R76, $B$50*CEILING($G30/FLOOR($B$49/IconRowSizes!$R76,1),1),0) + IF(IconRowSizes!$S76, $B$50*CEILING($G30/FLOOR($B$49/IconRowSizes!$S76,1),1),0)</f>
        <v>#REF!</v>
      </c>
      <c r="F30" s="57" t="e">
        <f t="shared" si="1"/>
        <v>#REF!</v>
      </c>
      <c r="G30" s="57" t="e">
        <f>$C30*#REF!</f>
        <v>#REF!</v>
      </c>
    </row>
    <row r="31" spans="1:8" ht="26.4" x14ac:dyDescent="0.25">
      <c r="A31" t="s">
        <v>151</v>
      </c>
      <c r="B31" t="e">
        <f>IconRowSizes!M77</f>
        <v>#REF!</v>
      </c>
      <c r="C31" s="57" t="e">
        <f>IF(VLOOKUP(#REF!,#REF!,2,FALSE),CEILING(2*#REF!/#REF!,1),0)</f>
        <v>#REF!</v>
      </c>
      <c r="D31" s="57" t="e">
        <f t="shared" si="0"/>
        <v>#REF!</v>
      </c>
      <c r="E31" s="57" t="e">
        <f>$B$50*IF(IconRowSizes!$N77, CEILING($G31/FLOOR($B$49/IconRowSizes!$N77,1),1),0) + IF(IconRowSizes!$O77, $B$50*CEILING($G31/FLOOR($B$49/IconRowSizes!$O77,1),1),0) + IF(IconRowSizes!$P77, $B$50*CEILING($G31/FLOOR($B$49/IconRowSizes!$P77,1),1),0) + IF(IconRowSizes!$Q77, $B$50*CEILING($G31/FLOOR($B$49/IconRowSizes!$Q77,1),1),0) + IF(IconRowSizes!$R77, $B$50*CEILING($G31/FLOOR($B$49/IconRowSizes!$R77,1),1),0) + IF(IconRowSizes!$S77, $B$50*CEILING($G31/FLOOR($B$49/IconRowSizes!$S77,1),1),0)</f>
        <v>#REF!</v>
      </c>
      <c r="F31" s="57" t="e">
        <f t="shared" si="1"/>
        <v>#REF!</v>
      </c>
      <c r="G31" s="57" t="e">
        <f>$C31*#REF!</f>
        <v>#REF!</v>
      </c>
      <c r="H31" s="66" t="s">
        <v>152</v>
      </c>
    </row>
    <row r="32" spans="1:8" x14ac:dyDescent="0.25">
      <c r="A32" t="s">
        <v>153</v>
      </c>
      <c r="B32" t="e">
        <f>IconRowSizes!M78</f>
        <v>#REF!</v>
      </c>
      <c r="C32" s="57" t="e">
        <f>IF(VLOOKUP(#REF!,#REF!,2,FALSE),4*C31*CEILING(#REF!/2,1),0)</f>
        <v>#REF!</v>
      </c>
      <c r="D32" s="57" t="e">
        <f t="shared" si="0"/>
        <v>#REF!</v>
      </c>
      <c r="E32" s="57" t="e">
        <f>$B$50*IF(IconRowSizes!$N78, CEILING($G32/FLOOR($B$49/IconRowSizes!$N78,1),1),0) + IF(IconRowSizes!$O78, $B$50*CEILING($G32/FLOOR($B$49/IconRowSizes!$O78,1),1),0) + IF(IconRowSizes!$P78, $B$50*CEILING($G32/FLOOR($B$49/IconRowSizes!$P78,1),1),0) + IF(IconRowSizes!$Q78, $B$50*CEILING($G32/FLOOR($B$49/IconRowSizes!$Q78,1),1),0) + IF(IconRowSizes!$R78, $B$50*CEILING($G32/FLOOR($B$49/IconRowSizes!$R78,1),1),0) + IF(IconRowSizes!$S78, $B$50*CEILING($G32/FLOOR($B$49/IconRowSizes!$S78,1),1),0)</f>
        <v>#REF!</v>
      </c>
      <c r="F32" s="57" t="e">
        <f t="shared" si="1"/>
        <v>#REF!</v>
      </c>
      <c r="G32" s="57" t="e">
        <f>$C32*#REF!</f>
        <v>#REF!</v>
      </c>
      <c r="H32" s="67" t="s">
        <v>154</v>
      </c>
    </row>
    <row r="33" spans="1:8" x14ac:dyDescent="0.25">
      <c r="A33" t="s">
        <v>155</v>
      </c>
      <c r="B33" t="e">
        <f>IconRowSizes!M79</f>
        <v>#REF!</v>
      </c>
      <c r="C33" s="57" t="e">
        <f>IF(VLOOKUP(#REF!,#REF!,2,FALSE),C36*#REF!,0)</f>
        <v>#REF!</v>
      </c>
      <c r="D33" s="57" t="e">
        <f t="shared" si="0"/>
        <v>#REF!</v>
      </c>
      <c r="E33" s="57" t="e">
        <f>$B$50*IF(IconRowSizes!$N79, CEILING($G33/FLOOR($B$49/IconRowSizes!$N79,1),1),0) + IF(IconRowSizes!$O79, $B$50*CEILING($G33/FLOOR($B$49/IconRowSizes!$O79,1),1),0) + IF(IconRowSizes!$P79, $B$50*CEILING($G33/FLOOR($B$49/IconRowSizes!$P79,1),1),0) + IF(IconRowSizes!$Q79, $B$50*CEILING($G33/FLOOR($B$49/IconRowSizes!$Q79,1),1),0) + IF(IconRowSizes!$R79, $B$50*CEILING($G33/FLOOR($B$49/IconRowSizes!$R79,1),1),0) + IF(IconRowSizes!$S79, $B$50*CEILING($G33/FLOOR($B$49/IconRowSizes!$S79,1),1),0)</f>
        <v>#REF!</v>
      </c>
      <c r="F33" s="57" t="e">
        <f t="shared" si="1"/>
        <v>#REF!</v>
      </c>
      <c r="G33" s="57" t="e">
        <f>$C33*#REF!</f>
        <v>#REF!</v>
      </c>
    </row>
    <row r="34" spans="1:8" x14ac:dyDescent="0.25">
      <c r="A34" t="s">
        <v>156</v>
      </c>
      <c r="B34" t="e">
        <f>IconRowSizes!M80</f>
        <v>#REF!</v>
      </c>
      <c r="C34" s="57" t="e">
        <f>IF(VLOOKUP(#REF!,#REF!,2,FALSE),C36*(#REF! +#REF!),0)</f>
        <v>#REF!</v>
      </c>
      <c r="D34" s="57" t="e">
        <f t="shared" si="0"/>
        <v>#REF!</v>
      </c>
      <c r="E34" s="57" t="e">
        <f>$B$50*IF(IconRowSizes!$N80, CEILING($G34/FLOOR($B$49/IconRowSizes!$N80,1),1),0) + IF(IconRowSizes!$O80, $B$50*CEILING($G34/FLOOR($B$49/IconRowSizes!$O80,1),1),0) + IF(IconRowSizes!$P80, $B$50*CEILING($G34/FLOOR($B$49/IconRowSizes!$P80,1),1),0) + IF(IconRowSizes!$Q80, $B$50*CEILING($G34/FLOOR($B$49/IconRowSizes!$Q80,1),1),0) + IF(IconRowSizes!$R80, $B$50*CEILING($G34/FLOOR($B$49/IconRowSizes!$R80,1),1),0) + IF(IconRowSizes!$S80, $B$50*CEILING($G34/FLOOR($B$49/IconRowSizes!$S80,1),1),0)</f>
        <v>#REF!</v>
      </c>
      <c r="F34" s="57" t="e">
        <f t="shared" si="1"/>
        <v>#REF!</v>
      </c>
      <c r="G34" s="57" t="e">
        <f>$C34*#REF!</f>
        <v>#REF!</v>
      </c>
    </row>
    <row r="35" spans="1:8" x14ac:dyDescent="0.25">
      <c r="A35" t="s">
        <v>157</v>
      </c>
      <c r="B35" t="e">
        <f>IconRowSizes!M81</f>
        <v>#REF!</v>
      </c>
      <c r="C35" s="57" t="e">
        <f>IF(VLOOKUP(#REF!,#REF!,2,FALSE),CEILING(2*$B$51*#REF!*(2*#REF!+3)+#REF!*(#REF!+3),1),0)</f>
        <v>#REF!</v>
      </c>
      <c r="D35" s="57" t="e">
        <f t="shared" si="0"/>
        <v>#REF!</v>
      </c>
      <c r="E35" s="57" t="e">
        <f>$B$50*IF(IconRowSizes!$N81, CEILING($G35/FLOOR($B$49/IconRowSizes!$N81,1),1),0) + IF(IconRowSizes!$O81, $B$50*CEILING($G35/FLOOR($B$49/IconRowSizes!$O81,1),1),0) + IF(IconRowSizes!$P81, $B$50*CEILING($G35/FLOOR($B$49/IconRowSizes!$P81,1),1),0) + IF(IconRowSizes!$Q81, $B$50*CEILING($G35/FLOOR($B$49/IconRowSizes!$Q81,1),1),0) + IF(IconRowSizes!$R81, $B$50*CEILING($G35/FLOOR($B$49/IconRowSizes!$R81,1),1),0) + IF(IconRowSizes!$S81, $B$50*CEILING($G35/FLOOR($B$49/IconRowSizes!$S81,1),1),0)</f>
        <v>#REF!</v>
      </c>
      <c r="F35" s="57" t="e">
        <f t="shared" si="1"/>
        <v>#REF!</v>
      </c>
      <c r="G35" s="57" t="e">
        <f>$C35*#REF!</f>
        <v>#REF!</v>
      </c>
    </row>
    <row r="36" spans="1:8" ht="52.8" x14ac:dyDescent="0.25">
      <c r="A36" t="s">
        <v>158</v>
      </c>
      <c r="B36" t="e">
        <f>IconRowSizes!M82</f>
        <v>#REF!</v>
      </c>
      <c r="C36" s="57" t="e">
        <f>IF(VLOOKUP(#REF!,#REF!,2,FALSE),C31*#REF!,0)</f>
        <v>#REF!</v>
      </c>
      <c r="D36" s="57" t="e">
        <f t="shared" si="0"/>
        <v>#REF!</v>
      </c>
      <c r="E36" s="57" t="e">
        <f>$B$50*IF(IconRowSizes!$N82, CEILING($G36/FLOOR($B$49/IconRowSizes!$N82,1),1),0) + IF(IconRowSizes!$O82, $B$50*CEILING($G36/FLOOR($B$49/IconRowSizes!$O82,1),1),0) + IF(IconRowSizes!$P82, $B$50*CEILING($G36/FLOOR($B$49/IconRowSizes!$P82,1),1),0) + IF(IconRowSizes!$Q82, $B$50*CEILING($G36/FLOOR($B$49/IconRowSizes!$Q82,1),1),0) + IF(IconRowSizes!$R82, $B$50*CEILING($G36/FLOOR($B$49/IconRowSizes!$R82,1),1),0) + IF(IconRowSizes!$S82, $B$50*CEILING($G36/FLOOR($B$49/IconRowSizes!$S82,1),1),0)</f>
        <v>#REF!</v>
      </c>
      <c r="F36" s="57" t="e">
        <f t="shared" si="1"/>
        <v>#REF!</v>
      </c>
      <c r="G36" s="57" t="e">
        <f>$C36*#REF!</f>
        <v>#REF!</v>
      </c>
      <c r="H36" s="68" t="s">
        <v>159</v>
      </c>
    </row>
    <row r="37" spans="1:8" s="64" customFormat="1" x14ac:dyDescent="0.25">
      <c r="A37" s="64" t="s">
        <v>160</v>
      </c>
      <c r="B37" s="64" t="e">
        <f>IconRowSizes!M83</f>
        <v>#REF!</v>
      </c>
      <c r="C37" s="64">
        <v>0</v>
      </c>
      <c r="D37" s="64" t="s">
        <v>108</v>
      </c>
      <c r="E37" s="65" t="e">
        <f>$B$50*IF(IconRowSizes!$N83, CEILING($G37/FLOOR($B$49/IconRowSizes!$N83,1),1),0) + IF(IconRowSizes!$O83, $B$50*CEILING($G37/FLOOR($B$49/IconRowSizes!$O83,1),1),0) + IF(IconRowSizes!$P83, $B$50*CEILING($G37/FLOOR($B$49/IconRowSizes!$P83,1),1),0) + IF(IconRowSizes!$Q83, $B$50*CEILING($G37/FLOOR($B$49/IconRowSizes!$Q83,1),1),0) + IF(IconRowSizes!$R83, $B$50*CEILING($G37/FLOOR($B$49/IconRowSizes!$R83,1),1),0) + IF(IconRowSizes!$S83, $B$50*CEILING($G37/FLOOR($B$49/IconRowSizes!$S83,1),1),0)</f>
        <v>#REF!</v>
      </c>
      <c r="F37" s="65" t="e">
        <f t="shared" si="1"/>
        <v>#REF!</v>
      </c>
      <c r="G37" s="65"/>
      <c r="H37" s="64" t="s">
        <v>161</v>
      </c>
    </row>
    <row r="38" spans="1:8" s="64" customFormat="1" x14ac:dyDescent="0.25">
      <c r="A38" s="64" t="s">
        <v>162</v>
      </c>
      <c r="B38" s="64" t="e">
        <f>IconRowSizes!M84</f>
        <v>#REF!</v>
      </c>
      <c r="C38" s="64">
        <v>0</v>
      </c>
      <c r="D38" s="64" t="s">
        <v>108</v>
      </c>
      <c r="E38" s="65" t="e">
        <f>$B$50*IF(IconRowSizes!$N84, CEILING($G38/FLOOR($B$49/IconRowSizes!$N84,1),1),0) + IF(IconRowSizes!$O84, $B$50*CEILING($G38/FLOOR($B$49/IconRowSizes!$O84,1),1),0) + IF(IconRowSizes!$P84, $B$50*CEILING($G38/FLOOR($B$49/IconRowSizes!$P84,1),1),0) + IF(IconRowSizes!$Q84, $B$50*CEILING($G38/FLOOR($B$49/IconRowSizes!$Q84,1),1),0) + IF(IconRowSizes!$R84, $B$50*CEILING($G38/FLOOR($B$49/IconRowSizes!$R84,1),1),0) + IF(IconRowSizes!$S84, $B$50*CEILING($G38/FLOOR($B$49/IconRowSizes!$S84,1),1),0)</f>
        <v>#REF!</v>
      </c>
      <c r="F38" s="65" t="e">
        <f t="shared" si="1"/>
        <v>#REF!</v>
      </c>
      <c r="G38" s="65"/>
      <c r="H38" s="64" t="s">
        <v>163</v>
      </c>
    </row>
    <row r="39" spans="1:8" s="71" customFormat="1" x14ac:dyDescent="0.25">
      <c r="A39" s="69" t="s">
        <v>164</v>
      </c>
      <c r="B39" s="69"/>
      <c r="C39" s="70" t="e">
        <f>SUM(C2:C38) + SUM(C42:C45)</f>
        <v>#REF!</v>
      </c>
      <c r="D39" s="70" t="e">
        <f>SUM(D2:D38) + SUM(D42:D45)</f>
        <v>#REF!</v>
      </c>
      <c r="E39" s="70" t="e">
        <f>SUM(E2:E38)+SUM(E42:E45)</f>
        <v>#REF!</v>
      </c>
      <c r="F39" s="70" t="e">
        <f t="shared" si="1"/>
        <v>#REF!</v>
      </c>
      <c r="G39" s="70"/>
    </row>
    <row r="40" spans="1:8" s="60" customFormat="1" x14ac:dyDescent="0.25">
      <c r="A40" s="72"/>
      <c r="B40" s="72"/>
      <c r="C40" s="73"/>
      <c r="D40" s="73"/>
      <c r="E40" s="73"/>
      <c r="F40" s="73"/>
      <c r="G40" s="73"/>
    </row>
    <row r="41" spans="1:8" s="71" customFormat="1" x14ac:dyDescent="0.25">
      <c r="A41" s="69" t="s">
        <v>165</v>
      </c>
      <c r="B41" s="69" t="s">
        <v>113</v>
      </c>
      <c r="C41" s="70" t="s">
        <v>114</v>
      </c>
      <c r="D41" s="70" t="s">
        <v>115</v>
      </c>
      <c r="E41" s="70" t="s">
        <v>116</v>
      </c>
      <c r="F41" s="70"/>
      <c r="G41" s="70" t="s">
        <v>118</v>
      </c>
      <c r="H41" s="69" t="s">
        <v>166</v>
      </c>
    </row>
    <row r="42" spans="1:8" s="74" customFormat="1" x14ac:dyDescent="0.25">
      <c r="A42" s="74" t="s">
        <v>128</v>
      </c>
      <c r="B42" s="75" t="e">
        <f>IconRowSizes!M56 - 258*(10-#REF!)</f>
        <v>#REF!</v>
      </c>
      <c r="C42" s="76" t="e">
        <f>IF(VLOOKUP(#REF!,#REF!,2,FALSE),IF(#REF! &gt; 0, C7,0),0)</f>
        <v>#REF!</v>
      </c>
      <c r="D42" s="57" t="e">
        <f>$B$50*CEILING($G42/FLOOR($B$48/$B42,1),1)</f>
        <v>#REF!</v>
      </c>
      <c r="E42" s="57" t="e">
        <f>$B$50*IF(IconRowSizes!$N56, CEILING($G42/FLOOR($B$49/IconRowSizes!$N56,1),1),0) + IF(IconRowSizes!$O56, $B$50*CEILING($G42/FLOOR($B$49/IconRowSizes!$O56,1),1),0) + IF(IconRowSizes!$P56, $B$50*CEILING($G42/FLOOR($B$49/IconRowSizes!$P56,1),1),0) + IF(IconRowSizes!$Q56, $B$50*CEILING($G42/FLOOR($B$49/IconRowSizes!$Q56,1),1),0) + IF(IconRowSizes!$R56, $B$50*CEILING($G42/FLOOR($B$49/IconRowSizes!$R56,1),1),0) + IF(IconRowSizes!$S56, $B$50*CEILING($G42/FLOOR($B$49/IconRowSizes!$S56,1),1),0)</f>
        <v>#REF!</v>
      </c>
      <c r="F42" s="57" t="e">
        <f>SUM(D42:E42)</f>
        <v>#REF!</v>
      </c>
      <c r="G42" s="57" t="e">
        <f>$C42*#REF!</f>
        <v>#REF!</v>
      </c>
      <c r="H42"/>
    </row>
    <row r="43" spans="1:8" s="74" customFormat="1" x14ac:dyDescent="0.25">
      <c r="A43" s="74" t="s">
        <v>130</v>
      </c>
      <c r="B43" s="77" t="e">
        <f>IconRowSizes!M57</f>
        <v>#REF!</v>
      </c>
      <c r="C43" s="76" t="e">
        <f>IF(VLOOKUP(#REF!,#REF!,2,FALSE),IF(#REF! &gt; 0, C7, 0),0)</f>
        <v>#REF!</v>
      </c>
      <c r="D43" s="57" t="e">
        <f>$B$50*CEILING($G43/FLOOR($B$48/$B43,1),1)</f>
        <v>#REF!</v>
      </c>
      <c r="E43" s="57" t="e">
        <f>$B$50*IF(IconRowSizes!$N57, CEILING($G43/FLOOR($B$49/IconRowSizes!$N57,1),1),0) + IF(IconRowSizes!$O57, $B$50*CEILING($G43/FLOOR($B$49/IconRowSizes!$O57,1),1),0) + IF(IconRowSizes!$P57, $B$50*CEILING($G43/FLOOR($B$49/IconRowSizes!$P57,1),1),0) + IF(IconRowSizes!$Q57, $B$50*CEILING($G43/FLOOR($B$49/IconRowSizes!$Q57,1),1),0) + IF(IconRowSizes!$R57, $B$50*CEILING($G43/FLOOR($B$49/IconRowSizes!$R57,1),1),0) + IF(IconRowSizes!$S57, $B$50*CEILING($G43/FLOOR($B$49/IconRowSizes!$S57,1),1),0)</f>
        <v>#REF!</v>
      </c>
      <c r="F43" s="57" t="e">
        <f>SUM(D43:E43)</f>
        <v>#REF!</v>
      </c>
      <c r="G43" s="57" t="e">
        <f>$C43*#REF!</f>
        <v>#REF!</v>
      </c>
      <c r="H43"/>
    </row>
    <row r="44" spans="1:8" s="74" customFormat="1" x14ac:dyDescent="0.25">
      <c r="A44" s="74" t="s">
        <v>167</v>
      </c>
      <c r="B44" s="77" t="e">
        <f>IconRowSizes!M58</f>
        <v>#REF!</v>
      </c>
      <c r="C44" s="76" t="e">
        <f>IF(VLOOKUP(#REF!,#REF!,2,FALSE),IF(#REF! &gt; 19, C7, 0),0)</f>
        <v>#REF!</v>
      </c>
      <c r="D44" s="57" t="e">
        <f>$B$50*CEILING($G44/FLOOR($B$48/$B44,1),1)</f>
        <v>#REF!</v>
      </c>
      <c r="E44" s="57" t="e">
        <f>$B$50*IF(IconRowSizes!$N58, CEILING($G44/FLOOR($B$49/IconRowSizes!$N58,1),1),0) + IF(IconRowSizes!$O58, $B$50*CEILING($G44/FLOOR($B$49/IconRowSizes!$O58,1),1),0) + IF(IconRowSizes!$P58, $B$50*CEILING($G44/FLOOR($B$49/IconRowSizes!$P58,1),1),0) + IF(IconRowSizes!$Q58, $B$50*CEILING($G44/FLOOR($B$49/IconRowSizes!$Q58,1),1),0) + IF(IconRowSizes!$R58, $B$50*CEILING($G44/FLOOR($B$49/IconRowSizes!$R58,1),1),0) + IF(IconRowSizes!$S58, $B$50*CEILING($G44/FLOOR($B$49/IconRowSizes!$S58,1),1),0)</f>
        <v>#REF!</v>
      </c>
      <c r="F44" s="57" t="e">
        <f>SUM(D44:E44)</f>
        <v>#REF!</v>
      </c>
      <c r="G44" s="57" t="e">
        <f>$C44*#REF!</f>
        <v>#REF!</v>
      </c>
      <c r="H44"/>
    </row>
    <row r="45" spans="1:8" s="74" customFormat="1" x14ac:dyDescent="0.25">
      <c r="A45" s="74" t="s">
        <v>168</v>
      </c>
      <c r="B45" s="77" t="e">
        <f>IconRowSizes!M59</f>
        <v>#REF!</v>
      </c>
      <c r="C45" s="76" t="e">
        <f>IF(VLOOKUP(#REF!,#REF!,2,FALSE),IF(#REF! &gt; 38, C8, 0),0)</f>
        <v>#REF!</v>
      </c>
      <c r="D45" s="57" t="e">
        <f>$B$50*CEILING($G45/FLOOR($B$48/$B45,1),1)</f>
        <v>#REF!</v>
      </c>
      <c r="E45" s="57" t="e">
        <f>$B$50*IF(IconRowSizes!$N59, CEILING($G45/FLOOR($B$49/IconRowSizes!$N59,1),1),0) + IF(IconRowSizes!$O59, $B$50*CEILING($G45/FLOOR($B$49/IconRowSizes!$O59,1),1),0) + IF(IconRowSizes!$P59, $B$50*CEILING($G45/FLOOR($B$49/IconRowSizes!$P59,1),1),0) + IF(IconRowSizes!$Q59, $B$50*CEILING($G45/FLOOR($B$49/IconRowSizes!$Q59,1),1),0) + IF(IconRowSizes!$R59, $B$50*CEILING($G45/FLOOR($B$49/IconRowSizes!$R59,1),1),0) + IF(IconRowSizes!$S59, $B$50*CEILING($G45/FLOOR($B$49/IconRowSizes!$S59,1),1),0)</f>
        <v>#REF!</v>
      </c>
      <c r="F45" s="57" t="e">
        <f>SUM(D45:E45)</f>
        <v>#REF!</v>
      </c>
      <c r="G45" s="57" t="e">
        <f>$C45*#REF!</f>
        <v>#REF!</v>
      </c>
      <c r="H45"/>
    </row>
    <row r="47" spans="1:8" s="78" customFormat="1" x14ac:dyDescent="0.25">
      <c r="A47" s="78" t="s">
        <v>169</v>
      </c>
      <c r="B47" s="78" t="s">
        <v>110</v>
      </c>
    </row>
    <row r="48" spans="1:8" x14ac:dyDescent="0.25">
      <c r="A48" s="79" t="s">
        <v>170</v>
      </c>
      <c r="B48" t="e">
        <f>IconRowSizes!$Q$2</f>
        <v>#REF!</v>
      </c>
    </row>
    <row r="49" spans="1:2" x14ac:dyDescent="0.25">
      <c r="A49" s="79" t="s">
        <v>171</v>
      </c>
      <c r="B49" t="e">
        <f>IconRowSizes!$R$2</f>
        <v>#REF!</v>
      </c>
    </row>
    <row r="50" spans="1:2" x14ac:dyDescent="0.25">
      <c r="A50" s="79" t="s">
        <v>172</v>
      </c>
      <c r="B50" t="e">
        <f>#REF!</f>
        <v>#REF!</v>
      </c>
    </row>
    <row r="51" spans="1:2" x14ac:dyDescent="0.25">
      <c r="A51" s="79" t="s">
        <v>173</v>
      </c>
      <c r="B51" t="e">
        <f>3600*#REF!/#REF!</f>
        <v>#REF!</v>
      </c>
    </row>
  </sheetData>
  <phoneticPr fontId="4" type="noConversion"/>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U84"/>
  <sheetViews>
    <sheetView workbookViewId="0">
      <selection activeCell="B53" sqref="B53"/>
    </sheetView>
  </sheetViews>
  <sheetFormatPr defaultRowHeight="13.2" x14ac:dyDescent="0.25"/>
  <cols>
    <col min="1" max="1" width="26.33203125" customWidth="1"/>
    <col min="4" max="4" width="7.6640625" customWidth="1"/>
    <col min="5" max="5" width="11.33203125" customWidth="1"/>
    <col min="6" max="6" width="10.88671875" customWidth="1"/>
    <col min="7" max="7" width="11.44140625" customWidth="1"/>
    <col min="9" max="9" width="10.33203125" customWidth="1"/>
    <col min="10" max="10" width="10.88671875" customWidth="1"/>
    <col min="11" max="11" width="11.109375" customWidth="1"/>
    <col min="12" max="12" width="11.33203125" customWidth="1"/>
    <col min="13" max="13" width="12.88671875" customWidth="1"/>
    <col min="14" max="14" width="10.88671875" customWidth="1"/>
    <col min="15" max="15" width="12" customWidth="1"/>
    <col min="16" max="16" width="11" customWidth="1"/>
    <col min="17" max="17" width="13.6640625" customWidth="1"/>
    <col min="18" max="18" width="11.44140625" customWidth="1"/>
    <col min="21" max="21" width="28.6640625" customWidth="1"/>
  </cols>
  <sheetData>
    <row r="1" spans="1:21" s="80" customFormat="1" ht="26.4" x14ac:dyDescent="0.25">
      <c r="A1" s="80" t="s">
        <v>174</v>
      </c>
      <c r="B1" s="80" t="s">
        <v>175</v>
      </c>
      <c r="C1" s="80" t="s">
        <v>176</v>
      </c>
      <c r="D1" s="80" t="s">
        <v>177</v>
      </c>
      <c r="E1" s="80" t="s">
        <v>178</v>
      </c>
      <c r="F1" s="80" t="s">
        <v>179</v>
      </c>
      <c r="G1" s="80" t="s">
        <v>180</v>
      </c>
      <c r="H1" s="80" t="s">
        <v>181</v>
      </c>
      <c r="I1" s="80" t="s">
        <v>182</v>
      </c>
      <c r="J1" s="80" t="s">
        <v>183</v>
      </c>
      <c r="K1" s="80" t="s">
        <v>184</v>
      </c>
      <c r="L1" s="80" t="s">
        <v>185</v>
      </c>
      <c r="M1" s="80" t="s">
        <v>186</v>
      </c>
      <c r="N1" s="80" t="s">
        <v>187</v>
      </c>
      <c r="O1" s="81" t="s">
        <v>188</v>
      </c>
      <c r="P1" s="81" t="s">
        <v>189</v>
      </c>
      <c r="Q1" s="82" t="s">
        <v>170</v>
      </c>
      <c r="R1" s="82" t="s">
        <v>171</v>
      </c>
    </row>
    <row r="2" spans="1:21" x14ac:dyDescent="0.25">
      <c r="A2" t="s">
        <v>190</v>
      </c>
      <c r="B2" t="e">
        <f>CHOOSE(VLOOKUP(#REF!,#REF!,2,FALSE),B3,B4,B5)</f>
        <v>#REF!</v>
      </c>
      <c r="C2" t="e">
        <f>CHOOSE(VLOOKUP(#REF!,#REF!,2,FALSE),C3,C4,C5)</f>
        <v>#REF!</v>
      </c>
      <c r="D2" t="e">
        <f>CHOOSE(VLOOKUP(#REF!,#REF!,2,FALSE),D3,D4,D5)</f>
        <v>#REF!</v>
      </c>
      <c r="E2" t="e">
        <f>CHOOSE(VLOOKUP(#REF!,#REF!,2,FALSE),E3,E4,E5)</f>
        <v>#REF!</v>
      </c>
      <c r="F2" t="e">
        <f>CHOOSE(VLOOKUP(#REF!,#REF!,2,FALSE),F3,F4,F5)</f>
        <v>#REF!</v>
      </c>
      <c r="G2" t="e">
        <f>CHOOSE(VLOOKUP(#REF!,#REF!,2,FALSE),G3,G4,G5)</f>
        <v>#REF!</v>
      </c>
      <c r="H2" t="e">
        <f>CHOOSE(VLOOKUP(#REF!,#REF!,2,FALSE),H3,H4,H5)</f>
        <v>#REF!</v>
      </c>
      <c r="I2" t="e">
        <f>CHOOSE(VLOOKUP(#REF!,#REF!,2,FALSE),I3,I4,I5)</f>
        <v>#REF!</v>
      </c>
      <c r="J2" t="e">
        <f>CHOOSE(VLOOKUP(#REF!,#REF!,2,FALSE),J3,J4,J5)</f>
        <v>#REF!</v>
      </c>
      <c r="K2" t="e">
        <f>CHOOSE(VLOOKUP(#REF!,#REF!,2,FALSE),K3,K4,K5)</f>
        <v>#REF!</v>
      </c>
      <c r="L2" t="e">
        <f>CHOOSE(VLOOKUP(#REF!,#REF!,2,FALSE),L3,L4,L5)</f>
        <v>#REF!</v>
      </c>
      <c r="M2" t="e">
        <f>CHOOSE(VLOOKUP(#REF!,#REF!,2,FALSE),M3,M4,M5)</f>
        <v>#REF!</v>
      </c>
      <c r="N2" t="e">
        <f>CHOOSE(VLOOKUP(#REF!,#REF!,2,FALSE),N3,N4,N5)</f>
        <v>#REF!</v>
      </c>
      <c r="O2" t="e">
        <f>CHOOSE(VLOOKUP(#REF!,#REF!,2,FALSE),O3,O4,O5)</f>
        <v>#REF!</v>
      </c>
      <c r="P2" t="e">
        <f>CHOOSE(VLOOKUP(#REF!,#REF!,2,FALSE),P3,P4,P5)</f>
        <v>#REF!</v>
      </c>
      <c r="Q2" t="e">
        <f>FLOOR((#REF! - M2)*(1-#REF!),1)</f>
        <v>#REF!</v>
      </c>
      <c r="R2" t="e">
        <f>FLOOR((#REF! - O2)*(1-#REF!),1)</f>
        <v>#REF!</v>
      </c>
    </row>
    <row r="3" spans="1:21" ht="79.2" x14ac:dyDescent="0.25">
      <c r="A3" t="s">
        <v>191</v>
      </c>
      <c r="B3">
        <v>11</v>
      </c>
      <c r="C3">
        <v>6</v>
      </c>
      <c r="D3">
        <v>4</v>
      </c>
      <c r="E3">
        <v>9</v>
      </c>
      <c r="F3">
        <v>11</v>
      </c>
      <c r="G3">
        <v>11</v>
      </c>
      <c r="H3">
        <v>11</v>
      </c>
      <c r="I3">
        <v>53</v>
      </c>
      <c r="J3">
        <v>65</v>
      </c>
      <c r="K3">
        <v>129</v>
      </c>
      <c r="L3">
        <v>258</v>
      </c>
      <c r="M3">
        <v>84</v>
      </c>
      <c r="N3">
        <v>3</v>
      </c>
      <c r="O3">
        <v>161</v>
      </c>
      <c r="P3">
        <v>8</v>
      </c>
      <c r="U3" s="83" t="s">
        <v>192</v>
      </c>
    </row>
    <row r="4" spans="1:21" x14ac:dyDescent="0.25">
      <c r="A4" t="s">
        <v>193</v>
      </c>
      <c r="B4">
        <v>8</v>
      </c>
      <c r="C4">
        <v>4</v>
      </c>
      <c r="D4">
        <v>2</v>
      </c>
      <c r="E4">
        <v>9</v>
      </c>
      <c r="F4">
        <v>9</v>
      </c>
      <c r="G4">
        <v>13</v>
      </c>
      <c r="H4">
        <v>8</v>
      </c>
      <c r="I4">
        <v>52</v>
      </c>
      <c r="J4">
        <v>66</v>
      </c>
      <c r="K4">
        <v>130</v>
      </c>
      <c r="L4">
        <v>257</v>
      </c>
      <c r="M4">
        <v>0</v>
      </c>
      <c r="N4">
        <v>15</v>
      </c>
      <c r="O4">
        <v>0</v>
      </c>
      <c r="P4">
        <v>16</v>
      </c>
    </row>
    <row r="5" spans="1:21" ht="26.4" x14ac:dyDescent="0.25">
      <c r="A5" t="s">
        <v>194</v>
      </c>
      <c r="B5">
        <v>8</v>
      </c>
      <c r="C5">
        <v>4</v>
      </c>
      <c r="D5">
        <v>2</v>
      </c>
      <c r="E5">
        <v>9</v>
      </c>
      <c r="F5">
        <v>10</v>
      </c>
      <c r="G5">
        <v>11</v>
      </c>
      <c r="H5">
        <v>10</v>
      </c>
      <c r="I5">
        <v>52</v>
      </c>
      <c r="J5">
        <v>66</v>
      </c>
      <c r="K5">
        <v>130</v>
      </c>
      <c r="L5">
        <v>258</v>
      </c>
      <c r="M5">
        <v>84</v>
      </c>
      <c r="N5">
        <v>3</v>
      </c>
      <c r="O5">
        <v>161</v>
      </c>
      <c r="P5">
        <v>8</v>
      </c>
      <c r="U5" s="83" t="s">
        <v>195</v>
      </c>
    </row>
    <row r="7" spans="1:21" s="69" customFormat="1" x14ac:dyDescent="0.25">
      <c r="A7" s="69" t="s">
        <v>112</v>
      </c>
      <c r="B7" s="69" t="s">
        <v>177</v>
      </c>
      <c r="C7" s="69" t="s">
        <v>196</v>
      </c>
      <c r="D7" s="69" t="s">
        <v>175</v>
      </c>
      <c r="E7" s="69" t="s">
        <v>197</v>
      </c>
      <c r="F7" s="69" t="s">
        <v>198</v>
      </c>
      <c r="G7" s="69" t="s">
        <v>199</v>
      </c>
      <c r="H7" s="69" t="s">
        <v>181</v>
      </c>
      <c r="I7" s="69" t="s">
        <v>182</v>
      </c>
      <c r="J7" s="69" t="s">
        <v>183</v>
      </c>
      <c r="K7" s="69" t="s">
        <v>184</v>
      </c>
      <c r="L7" s="69" t="s">
        <v>185</v>
      </c>
      <c r="M7" s="69" t="s">
        <v>113</v>
      </c>
      <c r="N7" s="69" t="s">
        <v>200</v>
      </c>
      <c r="O7" s="69" t="s">
        <v>201</v>
      </c>
      <c r="P7" s="69" t="s">
        <v>202</v>
      </c>
      <c r="Q7" s="69" t="s">
        <v>203</v>
      </c>
      <c r="R7" s="69" t="s">
        <v>204</v>
      </c>
      <c r="S7" s="69" t="s">
        <v>205</v>
      </c>
      <c r="T7" s="69" t="s">
        <v>206</v>
      </c>
    </row>
    <row r="8" spans="1:21" x14ac:dyDescent="0.25">
      <c r="A8" t="s">
        <v>207</v>
      </c>
      <c r="B8">
        <v>0</v>
      </c>
      <c r="C8">
        <v>13</v>
      </c>
      <c r="D8">
        <v>2</v>
      </c>
      <c r="E8">
        <v>1</v>
      </c>
      <c r="F8">
        <v>0</v>
      </c>
      <c r="G8">
        <v>0</v>
      </c>
      <c r="H8">
        <v>3</v>
      </c>
      <c r="I8">
        <v>0</v>
      </c>
      <c r="J8">
        <v>0</v>
      </c>
      <c r="K8">
        <v>0</v>
      </c>
      <c r="L8">
        <v>0</v>
      </c>
      <c r="M8" t="e">
        <f>13+B2*B8 + C2*C8 + D2*D8 + E2*E8 + F2*F8 + G2*G8 + H2*H8 + I2*I8 + J2*J8 + K2*K8 + L2*L8</f>
        <v>#REF!</v>
      </c>
      <c r="N8" t="e">
        <f>P2+E2</f>
        <v>#REF!</v>
      </c>
      <c r="O8" t="e">
        <f>P2+C2+C2</f>
        <v>#REF!</v>
      </c>
      <c r="P8">
        <v>0</v>
      </c>
      <c r="Q8">
        <v>0</v>
      </c>
      <c r="R8">
        <v>0</v>
      </c>
      <c r="S8">
        <v>0</v>
      </c>
    </row>
    <row r="9" spans="1:21" x14ac:dyDescent="0.25">
      <c r="A9" t="s">
        <v>208</v>
      </c>
      <c r="B9">
        <v>0</v>
      </c>
      <c r="C9">
        <v>23</v>
      </c>
      <c r="D9">
        <v>2</v>
      </c>
      <c r="E9">
        <v>1</v>
      </c>
      <c r="F9">
        <v>0</v>
      </c>
      <c r="G9">
        <v>0</v>
      </c>
      <c r="H9">
        <v>3</v>
      </c>
      <c r="I9">
        <v>0</v>
      </c>
      <c r="J9">
        <v>0</v>
      </c>
      <c r="K9">
        <v>0</v>
      </c>
      <c r="L9">
        <v>1</v>
      </c>
      <c r="M9" t="e">
        <f>13+B2*B9 + C2*C9 + D2*D9 + E2*E9 + F2*F9 + G2*G9 + H2*H9 + I2*I9 + J2*J9 + K2*K9 + L2*L9</f>
        <v>#REF!</v>
      </c>
      <c r="N9" t="e">
        <f>P2+E2</f>
        <v>#REF!</v>
      </c>
      <c r="O9" t="e">
        <f>P2+C2+C2+C2</f>
        <v>#REF!</v>
      </c>
      <c r="P9">
        <v>0</v>
      </c>
      <c r="Q9">
        <v>0</v>
      </c>
      <c r="R9">
        <v>0</v>
      </c>
      <c r="S9">
        <v>0</v>
      </c>
    </row>
    <row r="10" spans="1:21" x14ac:dyDescent="0.25">
      <c r="A10" t="s">
        <v>209</v>
      </c>
      <c r="B10">
        <v>0</v>
      </c>
      <c r="C10">
        <v>13</v>
      </c>
      <c r="D10">
        <v>2</v>
      </c>
      <c r="E10">
        <v>1</v>
      </c>
      <c r="F10">
        <v>0</v>
      </c>
      <c r="G10">
        <v>0</v>
      </c>
      <c r="H10">
        <v>3</v>
      </c>
      <c r="I10">
        <v>0</v>
      </c>
      <c r="J10">
        <v>0</v>
      </c>
      <c r="K10">
        <v>0</v>
      </c>
      <c r="L10">
        <v>0</v>
      </c>
      <c r="M10" t="e">
        <f>13+B2*B10 + C2*C10 + D2*D10 + E2*E10 + F2*F10 + G2*G10 + H2*H10 + I2*I10 + J2*J10 + K2*K10 + L2*L10</f>
        <v>#REF!</v>
      </c>
      <c r="N10" t="e">
        <f>P2+E2</f>
        <v>#REF!</v>
      </c>
      <c r="O10" t="e">
        <f>P2+C2+C2+C2</f>
        <v>#REF!</v>
      </c>
      <c r="P10">
        <v>0</v>
      </c>
      <c r="Q10">
        <v>0</v>
      </c>
      <c r="R10">
        <v>0</v>
      </c>
      <c r="S10">
        <v>0</v>
      </c>
    </row>
    <row r="11" spans="1:21" x14ac:dyDescent="0.25">
      <c r="A11" t="s">
        <v>210</v>
      </c>
      <c r="B11">
        <v>0</v>
      </c>
      <c r="C11">
        <v>13</v>
      </c>
      <c r="D11">
        <v>2</v>
      </c>
      <c r="E11">
        <v>1</v>
      </c>
      <c r="F11">
        <v>0</v>
      </c>
      <c r="G11">
        <v>0</v>
      </c>
      <c r="H11">
        <v>3</v>
      </c>
      <c r="I11">
        <v>0</v>
      </c>
      <c r="J11">
        <v>0</v>
      </c>
      <c r="K11">
        <v>0</v>
      </c>
      <c r="L11">
        <v>0</v>
      </c>
      <c r="M11" t="e">
        <f>13+B2*B11 + C2*C11 + D2*D11 + E2*E11 + F2*F11 + G2*G11 + H2*H11 + I2*I11 + J2*J11 + K2*K11 + L2*L11</f>
        <v>#REF!</v>
      </c>
      <c r="N11" t="e">
        <f>P2+E2</f>
        <v>#REF!</v>
      </c>
      <c r="O11" t="e">
        <f>P2+C2+C2+C2</f>
        <v>#REF!</v>
      </c>
      <c r="P11">
        <v>0</v>
      </c>
      <c r="Q11">
        <v>0</v>
      </c>
      <c r="R11">
        <v>0</v>
      </c>
      <c r="S11">
        <v>0</v>
      </c>
    </row>
    <row r="12" spans="1:21" x14ac:dyDescent="0.25">
      <c r="A12" t="s">
        <v>211</v>
      </c>
      <c r="B12">
        <v>0</v>
      </c>
      <c r="C12">
        <v>13</v>
      </c>
      <c r="D12">
        <v>2</v>
      </c>
      <c r="E12">
        <v>1</v>
      </c>
      <c r="F12">
        <v>0</v>
      </c>
      <c r="G12">
        <v>0</v>
      </c>
      <c r="H12">
        <v>3</v>
      </c>
      <c r="I12">
        <v>0</v>
      </c>
      <c r="J12">
        <v>0</v>
      </c>
      <c r="K12">
        <v>0</v>
      </c>
      <c r="L12">
        <v>0</v>
      </c>
      <c r="M12" t="e">
        <f>13+B2*B12 + C2*C12 + D2*D12 + E2*E12 + F2*F12 + G2*G12 + H2*H12 + I2*I12 + J2*J12 + K2*K12 + L2*L12</f>
        <v>#REF!</v>
      </c>
      <c r="N12" t="e">
        <f>P2+E2</f>
        <v>#REF!</v>
      </c>
      <c r="O12" t="e">
        <f>P2+C2+C2+C2</f>
        <v>#REF!</v>
      </c>
      <c r="P12">
        <v>0</v>
      </c>
      <c r="Q12">
        <v>0</v>
      </c>
      <c r="R12">
        <v>0</v>
      </c>
      <c r="S12">
        <v>0</v>
      </c>
    </row>
    <row r="13" spans="1:21" x14ac:dyDescent="0.25">
      <c r="A13" t="s">
        <v>212</v>
      </c>
      <c r="B13">
        <v>0</v>
      </c>
      <c r="C13">
        <v>13</v>
      </c>
      <c r="D13">
        <v>2</v>
      </c>
      <c r="E13">
        <v>1</v>
      </c>
      <c r="F13">
        <v>0</v>
      </c>
      <c r="G13">
        <v>0</v>
      </c>
      <c r="H13">
        <v>3</v>
      </c>
      <c r="I13">
        <v>0</v>
      </c>
      <c r="J13">
        <v>0</v>
      </c>
      <c r="K13">
        <v>0</v>
      </c>
      <c r="L13">
        <v>0</v>
      </c>
      <c r="M13" t="e">
        <f>13+B2*B13 + C2*C13 + D2*D13 + E2*E13 + F2*F13 + G2*G13 + H2*H13 + I2*I13 + J2*J13 + K2*K13 + L2*L13</f>
        <v>#REF!</v>
      </c>
      <c r="N13" t="e">
        <f>P2+E2</f>
        <v>#REF!</v>
      </c>
      <c r="O13" t="e">
        <f>P2+C2+C2+C2</f>
        <v>#REF!</v>
      </c>
      <c r="P13">
        <v>0</v>
      </c>
      <c r="Q13">
        <v>0</v>
      </c>
      <c r="R13">
        <v>0</v>
      </c>
      <c r="S13">
        <v>0</v>
      </c>
    </row>
    <row r="14" spans="1:21" x14ac:dyDescent="0.25">
      <c r="A14" t="s">
        <v>213</v>
      </c>
      <c r="B14">
        <v>0</v>
      </c>
      <c r="C14">
        <v>13</v>
      </c>
      <c r="D14">
        <v>2</v>
      </c>
      <c r="E14">
        <v>1</v>
      </c>
      <c r="F14">
        <v>0</v>
      </c>
      <c r="G14">
        <v>0</v>
      </c>
      <c r="H14">
        <v>3</v>
      </c>
      <c r="I14">
        <v>0</v>
      </c>
      <c r="J14">
        <v>0</v>
      </c>
      <c r="K14">
        <v>0</v>
      </c>
      <c r="L14">
        <v>0</v>
      </c>
      <c r="M14" t="e">
        <f>13+B2*B14 + C2*C14 + D2*D14 + E2*E14 + F2*F14 + G2*G14 + H2*H14 + I2*I14 + J2*J14 + K2*K14 + L2*L14</f>
        <v>#REF!</v>
      </c>
      <c r="N14" t="e">
        <f>P2+E2</f>
        <v>#REF!</v>
      </c>
      <c r="O14" t="e">
        <f>P2+C2+C2+C2</f>
        <v>#REF!</v>
      </c>
      <c r="P14">
        <v>0</v>
      </c>
      <c r="Q14">
        <v>0</v>
      </c>
      <c r="R14">
        <v>0</v>
      </c>
      <c r="S14">
        <v>0</v>
      </c>
    </row>
    <row r="15" spans="1:21" x14ac:dyDescent="0.25">
      <c r="A15" t="s">
        <v>214</v>
      </c>
      <c r="B15">
        <v>0</v>
      </c>
      <c r="C15">
        <v>13</v>
      </c>
      <c r="D15">
        <v>2</v>
      </c>
      <c r="E15">
        <v>1</v>
      </c>
      <c r="F15">
        <v>0</v>
      </c>
      <c r="G15">
        <v>0</v>
      </c>
      <c r="H15">
        <v>3</v>
      </c>
      <c r="I15">
        <v>0</v>
      </c>
      <c r="J15">
        <v>0</v>
      </c>
      <c r="K15">
        <v>0</v>
      </c>
      <c r="L15">
        <v>0</v>
      </c>
      <c r="M15" t="e">
        <f>13+B2*B15 + C2*C15 + D2*D15 + E2*E15 + F2*F15 + G2*G15 + H2*H15 + I2*I15 + J2*J15 + K2*K15 + L2*L15</f>
        <v>#REF!</v>
      </c>
      <c r="N15" t="e">
        <f>P2+E2</f>
        <v>#REF!</v>
      </c>
      <c r="O15" t="e">
        <f>P2+C2+C2+C2</f>
        <v>#REF!</v>
      </c>
      <c r="P15">
        <v>0</v>
      </c>
      <c r="Q15">
        <v>0</v>
      </c>
      <c r="R15">
        <v>0</v>
      </c>
      <c r="S15">
        <v>0</v>
      </c>
    </row>
    <row r="16" spans="1:21" x14ac:dyDescent="0.25">
      <c r="A16" t="s">
        <v>215</v>
      </c>
      <c r="B16">
        <v>0</v>
      </c>
      <c r="C16">
        <v>13</v>
      </c>
      <c r="D16">
        <v>2</v>
      </c>
      <c r="E16">
        <v>1</v>
      </c>
      <c r="F16">
        <v>0</v>
      </c>
      <c r="G16">
        <v>0</v>
      </c>
      <c r="H16">
        <v>3</v>
      </c>
      <c r="I16">
        <v>0</v>
      </c>
      <c r="J16">
        <v>0</v>
      </c>
      <c r="K16">
        <v>0</v>
      </c>
      <c r="L16">
        <v>0</v>
      </c>
      <c r="M16" t="e">
        <f>13+B2*B16 + C2*C16 + D2*D16 + E2*E16 + F2*F16 + G2*G16 + H2*H16 + I2*I16 + J2*J16 + K2*K16 + L2*L16</f>
        <v>#REF!</v>
      </c>
      <c r="N16" t="e">
        <f>P2+E2</f>
        <v>#REF!</v>
      </c>
      <c r="O16" t="e">
        <f>P2+C2+C2+C2</f>
        <v>#REF!</v>
      </c>
      <c r="P16">
        <v>0</v>
      </c>
      <c r="Q16">
        <v>0</v>
      </c>
      <c r="R16">
        <v>0</v>
      </c>
      <c r="S16">
        <v>0</v>
      </c>
    </row>
    <row r="17" spans="1:19" x14ac:dyDescent="0.25">
      <c r="A17" t="s">
        <v>216</v>
      </c>
      <c r="B17">
        <v>0</v>
      </c>
      <c r="C17">
        <v>13</v>
      </c>
      <c r="D17">
        <v>2</v>
      </c>
      <c r="E17">
        <v>1</v>
      </c>
      <c r="F17">
        <v>0</v>
      </c>
      <c r="G17">
        <v>0</v>
      </c>
      <c r="H17">
        <v>3</v>
      </c>
      <c r="I17">
        <v>0</v>
      </c>
      <c r="J17">
        <v>0</v>
      </c>
      <c r="K17">
        <v>0</v>
      </c>
      <c r="L17">
        <v>0</v>
      </c>
      <c r="M17" t="e">
        <f>13+B2*B17 + C2*C17 + D2*D17 + E2*E17 + F2*F17 + G2*G17 + H2*H17 + I2*I17 + J2*J17 + K2*K17 + L2*L17</f>
        <v>#REF!</v>
      </c>
      <c r="N17" t="e">
        <f>P2+E2</f>
        <v>#REF!</v>
      </c>
      <c r="O17" t="e">
        <f>P2+C2+C2+C2</f>
        <v>#REF!</v>
      </c>
      <c r="P17">
        <v>0</v>
      </c>
      <c r="Q17">
        <v>0</v>
      </c>
      <c r="R17">
        <v>0</v>
      </c>
      <c r="S17">
        <v>0</v>
      </c>
    </row>
    <row r="18" spans="1:19" x14ac:dyDescent="0.25">
      <c r="A18" t="s">
        <v>217</v>
      </c>
      <c r="B18">
        <v>0</v>
      </c>
      <c r="C18">
        <v>14</v>
      </c>
      <c r="D18">
        <v>2</v>
      </c>
      <c r="E18">
        <v>1</v>
      </c>
      <c r="F18">
        <v>0</v>
      </c>
      <c r="G18">
        <v>0</v>
      </c>
      <c r="H18">
        <v>3</v>
      </c>
      <c r="I18">
        <v>0</v>
      </c>
      <c r="J18">
        <v>0</v>
      </c>
      <c r="K18">
        <v>0</v>
      </c>
      <c r="L18">
        <v>0</v>
      </c>
      <c r="M18" t="e">
        <f>13+B2*B18 + C2*C18 + D2*D18 + E2*E18 + F2*F18 + G2*G18 + H2*H18 + I2*I18 + J2*J18 + K2*K18 + L2*L18</f>
        <v>#REF!</v>
      </c>
      <c r="N18" t="e">
        <f>P2+E2</f>
        <v>#REF!</v>
      </c>
      <c r="O18" t="e">
        <f>P2+C2+C2+C2</f>
        <v>#REF!</v>
      </c>
      <c r="P18">
        <v>0</v>
      </c>
      <c r="Q18">
        <v>0</v>
      </c>
      <c r="R18">
        <v>0</v>
      </c>
      <c r="S18">
        <v>0</v>
      </c>
    </row>
    <row r="19" spans="1:19" x14ac:dyDescent="0.25">
      <c r="A19" t="s">
        <v>218</v>
      </c>
      <c r="B19">
        <v>0</v>
      </c>
      <c r="C19">
        <v>17</v>
      </c>
      <c r="D19">
        <v>2</v>
      </c>
      <c r="E19">
        <v>1</v>
      </c>
      <c r="F19">
        <v>0</v>
      </c>
      <c r="G19">
        <v>0</v>
      </c>
      <c r="H19">
        <v>3</v>
      </c>
      <c r="I19">
        <v>0</v>
      </c>
      <c r="J19">
        <v>0</v>
      </c>
      <c r="K19">
        <v>0</v>
      </c>
      <c r="L19">
        <v>0</v>
      </c>
      <c r="M19" t="e">
        <f>13+B2*B19 + C2*C19 + D2*D19 + E2*E19 + F2*F19 + G2*G19 + H2*H19 + I2*I19 + J2*J19 + K2*K19 + L2*L19</f>
        <v>#REF!</v>
      </c>
      <c r="N19" t="e">
        <f>P2+E2</f>
        <v>#REF!</v>
      </c>
      <c r="O19" t="e">
        <f>P2+C2+C2+C2+C2+C2</f>
        <v>#REF!</v>
      </c>
      <c r="P19">
        <v>0</v>
      </c>
      <c r="Q19">
        <v>0</v>
      </c>
      <c r="R19">
        <v>0</v>
      </c>
      <c r="S19">
        <v>0</v>
      </c>
    </row>
    <row r="20" spans="1:19" x14ac:dyDescent="0.25">
      <c r="A20" t="s">
        <v>219</v>
      </c>
      <c r="B20">
        <v>0</v>
      </c>
      <c r="C20">
        <v>14</v>
      </c>
      <c r="D20">
        <v>2</v>
      </c>
      <c r="E20">
        <v>1</v>
      </c>
      <c r="F20">
        <v>0</v>
      </c>
      <c r="G20">
        <v>0</v>
      </c>
      <c r="H20">
        <v>3</v>
      </c>
      <c r="I20">
        <v>0</v>
      </c>
      <c r="J20">
        <v>0</v>
      </c>
      <c r="K20">
        <v>0</v>
      </c>
      <c r="L20">
        <v>0</v>
      </c>
      <c r="M20" t="e">
        <f>13+B2*B20 + C2*C20 + D2*D20 + E2*E20 + F2*F20 + G2*G20 + H2*H20 + I2*I20 + J2*J20 + K2*K20 + L2*L20</f>
        <v>#REF!</v>
      </c>
      <c r="N20" t="e">
        <f>P2+E2</f>
        <v>#REF!</v>
      </c>
      <c r="O20" t="e">
        <f>P2+C2+C2+C2</f>
        <v>#REF!</v>
      </c>
      <c r="P20">
        <v>0</v>
      </c>
      <c r="Q20">
        <v>0</v>
      </c>
      <c r="R20">
        <v>0</v>
      </c>
      <c r="S20">
        <v>0</v>
      </c>
    </row>
    <row r="21" spans="1:19" x14ac:dyDescent="0.25">
      <c r="A21" t="s">
        <v>220</v>
      </c>
      <c r="B21">
        <v>0</v>
      </c>
      <c r="C21">
        <v>12</v>
      </c>
      <c r="D21">
        <v>2</v>
      </c>
      <c r="E21">
        <v>1</v>
      </c>
      <c r="F21">
        <v>0</v>
      </c>
      <c r="G21">
        <v>0</v>
      </c>
      <c r="H21">
        <v>3</v>
      </c>
      <c r="I21">
        <v>0</v>
      </c>
      <c r="J21">
        <v>0</v>
      </c>
      <c r="K21">
        <v>0</v>
      </c>
      <c r="L21">
        <v>2</v>
      </c>
      <c r="M21" t="e">
        <f>13+B2*B21 + C2*C21 + D2*D21 + E2*E21 + F2*F21 + G2*G21 + H2*H21 + I2*I21 + J2*J21 + K2*K21 + L2*L21</f>
        <v>#REF!</v>
      </c>
      <c r="N21" t="e">
        <f>P2+E2</f>
        <v>#REF!</v>
      </c>
      <c r="O21" t="e">
        <f>P2+C2+C2</f>
        <v>#REF!</v>
      </c>
      <c r="P21">
        <v>0</v>
      </c>
      <c r="Q21">
        <v>0</v>
      </c>
      <c r="R21">
        <v>0</v>
      </c>
      <c r="S21">
        <v>0</v>
      </c>
    </row>
    <row r="22" spans="1:19" x14ac:dyDescent="0.25">
      <c r="A22" t="s">
        <v>221</v>
      </c>
      <c r="B22">
        <v>0</v>
      </c>
      <c r="C22">
        <v>18</v>
      </c>
      <c r="D22">
        <v>2</v>
      </c>
      <c r="E22">
        <v>0</v>
      </c>
      <c r="F22">
        <v>0</v>
      </c>
      <c r="G22">
        <v>0</v>
      </c>
      <c r="H22">
        <v>4</v>
      </c>
      <c r="I22">
        <v>0</v>
      </c>
      <c r="J22">
        <v>0</v>
      </c>
      <c r="K22">
        <v>0</v>
      </c>
      <c r="L22">
        <v>2</v>
      </c>
      <c r="M22" t="e">
        <f>13+B2*B22 + C2*C22 + D2*D22 + E2*E22 + F2*F22 + G2*G22 + H2*H22 + I2*I22 + J2*J22 + K2*K22 + L2*L22</f>
        <v>#REF!</v>
      </c>
      <c r="N22" t="e">
        <f>P2+C2</f>
        <v>#REF!</v>
      </c>
      <c r="O22">
        <v>0</v>
      </c>
      <c r="P22">
        <v>0</v>
      </c>
      <c r="Q22">
        <v>0</v>
      </c>
      <c r="R22">
        <v>0</v>
      </c>
      <c r="S22">
        <v>0</v>
      </c>
    </row>
    <row r="23" spans="1:19" x14ac:dyDescent="0.25">
      <c r="A23" t="s">
        <v>222</v>
      </c>
      <c r="B23">
        <v>0</v>
      </c>
      <c r="C23">
        <v>19</v>
      </c>
      <c r="D23">
        <v>2</v>
      </c>
      <c r="E23">
        <v>0</v>
      </c>
      <c r="F23">
        <v>0</v>
      </c>
      <c r="G23">
        <v>0</v>
      </c>
      <c r="H23">
        <v>4</v>
      </c>
      <c r="I23">
        <v>0</v>
      </c>
      <c r="J23">
        <v>3</v>
      </c>
      <c r="K23">
        <v>0</v>
      </c>
      <c r="L23">
        <v>2</v>
      </c>
      <c r="M23" t="e">
        <f>13+B2*B23 + C2*C23 + D2*D23 + E2*E23 + F2*F23 + G2*G23 + H2*H23 + I2*I23 + J2*J23 + K2*K23 + L2*L23</f>
        <v>#REF!</v>
      </c>
      <c r="N23" t="e">
        <f>P2+C2</f>
        <v>#REF!</v>
      </c>
      <c r="O23">
        <v>0</v>
      </c>
      <c r="P23">
        <v>0</v>
      </c>
      <c r="Q23">
        <v>0</v>
      </c>
      <c r="R23">
        <v>0</v>
      </c>
      <c r="S23">
        <v>0</v>
      </c>
    </row>
    <row r="24" spans="1:19" x14ac:dyDescent="0.25">
      <c r="A24" t="s">
        <v>223</v>
      </c>
      <c r="B24">
        <v>0</v>
      </c>
      <c r="C24">
        <v>17</v>
      </c>
      <c r="D24">
        <v>2</v>
      </c>
      <c r="E24">
        <v>0</v>
      </c>
      <c r="F24">
        <v>0</v>
      </c>
      <c r="G24">
        <v>0</v>
      </c>
      <c r="H24">
        <v>4</v>
      </c>
      <c r="I24">
        <v>0</v>
      </c>
      <c r="J24">
        <v>0</v>
      </c>
      <c r="K24">
        <v>0</v>
      </c>
      <c r="L24">
        <v>2</v>
      </c>
      <c r="M24" t="e">
        <f>13+B2*B24 + C2*C24 + D2*D24 + E2*E24 + F2*F24 + G2*G24 + H2*H24 + I2*I24 + J2*J24 + K2*K24 + L2*L24</f>
        <v>#REF!</v>
      </c>
      <c r="N24" t="e">
        <f>P2+C2</f>
        <v>#REF!</v>
      </c>
      <c r="O24">
        <v>0</v>
      </c>
      <c r="P24">
        <v>0</v>
      </c>
      <c r="Q24">
        <v>0</v>
      </c>
      <c r="R24">
        <v>0</v>
      </c>
      <c r="S24">
        <v>0</v>
      </c>
    </row>
    <row r="25" spans="1:19" x14ac:dyDescent="0.25">
      <c r="A25" t="s">
        <v>224</v>
      </c>
      <c r="B25">
        <v>0</v>
      </c>
      <c r="C25">
        <v>18</v>
      </c>
      <c r="D25">
        <v>2</v>
      </c>
      <c r="E25">
        <v>0</v>
      </c>
      <c r="F25">
        <v>0</v>
      </c>
      <c r="G25">
        <v>0</v>
      </c>
      <c r="H25">
        <v>4</v>
      </c>
      <c r="I25">
        <v>0</v>
      </c>
      <c r="J25">
        <v>0</v>
      </c>
      <c r="K25">
        <v>0</v>
      </c>
      <c r="L25">
        <v>3</v>
      </c>
      <c r="M25" t="e">
        <f>13+B2*B25 + C2*C25 + D2*D25 + E2*E25 + F2*F25 + G2*G25 + H2*H25 + I2*I25 + J2*J25 + K2*K25 + L2*L25</f>
        <v>#REF!</v>
      </c>
      <c r="N25" t="e">
        <f>P2+C2</f>
        <v>#REF!</v>
      </c>
      <c r="O25">
        <v>0</v>
      </c>
      <c r="P25">
        <v>0</v>
      </c>
      <c r="Q25">
        <v>0</v>
      </c>
      <c r="R25">
        <v>0</v>
      </c>
      <c r="S25">
        <v>0</v>
      </c>
    </row>
    <row r="26" spans="1:19" x14ac:dyDescent="0.25">
      <c r="A26" t="s">
        <v>225</v>
      </c>
      <c r="B26">
        <v>0</v>
      </c>
      <c r="C26">
        <v>18</v>
      </c>
      <c r="D26">
        <v>2</v>
      </c>
      <c r="E26">
        <v>0</v>
      </c>
      <c r="F26">
        <v>0</v>
      </c>
      <c r="G26">
        <v>0</v>
      </c>
      <c r="H26">
        <v>4</v>
      </c>
      <c r="I26">
        <v>0</v>
      </c>
      <c r="J26">
        <v>0</v>
      </c>
      <c r="K26">
        <v>0</v>
      </c>
      <c r="L26">
        <v>3</v>
      </c>
      <c r="M26" t="e">
        <f>13+B2*B26 + C2*C26 + D2*D26 + E2*E26 + F2*F26 + G2*G26 + H2*H26 + I2*I26 + J2*J26 + K2*K26 + L2*L26</f>
        <v>#REF!</v>
      </c>
      <c r="N26" t="e">
        <f>P2+C2</f>
        <v>#REF!</v>
      </c>
      <c r="O26">
        <v>0</v>
      </c>
      <c r="P26">
        <v>0</v>
      </c>
      <c r="Q26">
        <v>0</v>
      </c>
      <c r="R26">
        <v>0</v>
      </c>
      <c r="S26">
        <v>0</v>
      </c>
    </row>
    <row r="27" spans="1:19" x14ac:dyDescent="0.25">
      <c r="A27" t="s">
        <v>226</v>
      </c>
      <c r="B27">
        <v>0</v>
      </c>
      <c r="C27">
        <v>23</v>
      </c>
      <c r="D27">
        <v>2</v>
      </c>
      <c r="E27">
        <v>0</v>
      </c>
      <c r="F27">
        <v>0</v>
      </c>
      <c r="G27">
        <v>0</v>
      </c>
      <c r="H27">
        <v>4</v>
      </c>
      <c r="I27">
        <v>0</v>
      </c>
      <c r="J27">
        <v>0</v>
      </c>
      <c r="K27">
        <v>0</v>
      </c>
      <c r="L27">
        <v>2</v>
      </c>
      <c r="M27" t="e">
        <f>13+B2*B27 + C2*C27 + D2*D27 + E2*E27 + F2*F27 + G2*G27 + H2*H27 + I2*I27 + J2*J27 + K2*K27 + L2*L27</f>
        <v>#REF!</v>
      </c>
      <c r="N27" t="e">
        <f>P2+C2</f>
        <v>#REF!</v>
      </c>
      <c r="O27">
        <v>0</v>
      </c>
      <c r="P27">
        <v>0</v>
      </c>
      <c r="Q27">
        <v>0</v>
      </c>
      <c r="R27">
        <v>0</v>
      </c>
      <c r="S27">
        <v>0</v>
      </c>
    </row>
    <row r="28" spans="1:19" x14ac:dyDescent="0.25">
      <c r="A28" t="s">
        <v>227</v>
      </c>
      <c r="B28">
        <v>0</v>
      </c>
      <c r="C28">
        <v>17</v>
      </c>
      <c r="D28">
        <v>2</v>
      </c>
      <c r="E28">
        <v>0</v>
      </c>
      <c r="F28">
        <v>0</v>
      </c>
      <c r="G28">
        <v>0</v>
      </c>
      <c r="H28">
        <v>4</v>
      </c>
      <c r="I28">
        <v>0</v>
      </c>
      <c r="J28">
        <v>0</v>
      </c>
      <c r="K28">
        <v>0</v>
      </c>
      <c r="L28">
        <v>2</v>
      </c>
      <c r="M28" t="e">
        <f>13+B2*B28 + C2*C28 + D2*D28 + E2*E28 + F2*F28 + G2*G28 + H2*H28 + I2*I28 + J2*J28 + K2*K28 + L2*L28</f>
        <v>#REF!</v>
      </c>
      <c r="N28" t="e">
        <f>P2+C2</f>
        <v>#REF!</v>
      </c>
      <c r="O28">
        <v>0</v>
      </c>
      <c r="P28">
        <v>0</v>
      </c>
      <c r="Q28">
        <v>0</v>
      </c>
      <c r="R28">
        <v>0</v>
      </c>
      <c r="S28">
        <v>0</v>
      </c>
    </row>
    <row r="29" spans="1:19" x14ac:dyDescent="0.25">
      <c r="A29" t="s">
        <v>228</v>
      </c>
      <c r="B29">
        <v>0</v>
      </c>
      <c r="C29">
        <v>20</v>
      </c>
      <c r="D29">
        <v>2</v>
      </c>
      <c r="E29">
        <v>0</v>
      </c>
      <c r="F29">
        <v>0</v>
      </c>
      <c r="G29">
        <v>0</v>
      </c>
      <c r="H29">
        <v>4</v>
      </c>
      <c r="I29">
        <v>0</v>
      </c>
      <c r="J29">
        <v>0</v>
      </c>
      <c r="K29">
        <v>0</v>
      </c>
      <c r="L29">
        <v>3</v>
      </c>
      <c r="M29" t="e">
        <f>13+B2*B29 + C2*C29 + D2*D29 + E2*E29 + F2*F29 + G2*G29 + H2*H29 + I2*I29 + J2*J29 + K2*K29 + L2*L29</f>
        <v>#REF!</v>
      </c>
      <c r="N29" t="e">
        <f>P2+C2</f>
        <v>#REF!</v>
      </c>
      <c r="O29">
        <v>0</v>
      </c>
      <c r="P29">
        <v>0</v>
      </c>
      <c r="Q29">
        <v>0</v>
      </c>
      <c r="R29">
        <v>0</v>
      </c>
      <c r="S29">
        <v>0</v>
      </c>
    </row>
    <row r="30" spans="1:19" x14ac:dyDescent="0.25">
      <c r="A30" t="s">
        <v>229</v>
      </c>
      <c r="B30">
        <v>0</v>
      </c>
      <c r="C30">
        <v>23</v>
      </c>
      <c r="D30">
        <v>2</v>
      </c>
      <c r="E30">
        <v>0</v>
      </c>
      <c r="F30">
        <v>0</v>
      </c>
      <c r="G30">
        <v>0</v>
      </c>
      <c r="H30">
        <v>4</v>
      </c>
      <c r="I30">
        <v>0</v>
      </c>
      <c r="J30">
        <v>0</v>
      </c>
      <c r="K30">
        <v>0</v>
      </c>
      <c r="L30">
        <v>3</v>
      </c>
      <c r="M30" t="e">
        <f>13+B2*B30 + C2*C30 + D2*D30 + E2*E30 + F2*F30 + G2*G30 + H2*H30 + I2*I30 + J2*J30 + K2*K30 + L2*L30</f>
        <v>#REF!</v>
      </c>
      <c r="N30" t="e">
        <f>P2+C2</f>
        <v>#REF!</v>
      </c>
      <c r="O30">
        <v>0</v>
      </c>
      <c r="P30">
        <v>0</v>
      </c>
      <c r="Q30">
        <v>0</v>
      </c>
      <c r="R30">
        <v>0</v>
      </c>
      <c r="S30">
        <v>0</v>
      </c>
    </row>
    <row r="31" spans="1:19" x14ac:dyDescent="0.25">
      <c r="A31" t="s">
        <v>230</v>
      </c>
      <c r="B31">
        <v>0</v>
      </c>
      <c r="C31">
        <v>18</v>
      </c>
      <c r="D31">
        <v>2</v>
      </c>
      <c r="E31">
        <v>0</v>
      </c>
      <c r="F31">
        <v>0</v>
      </c>
      <c r="G31">
        <v>0</v>
      </c>
      <c r="H31">
        <v>4</v>
      </c>
      <c r="I31">
        <v>0</v>
      </c>
      <c r="J31">
        <v>0</v>
      </c>
      <c r="K31">
        <v>0</v>
      </c>
      <c r="L31">
        <v>2</v>
      </c>
      <c r="M31" t="e">
        <f>13+B2*B31 + C2*C31 + D2*D31 + E2*E31 + F2*F31 + G2*G31 + H2*H31 + I2*I31 + J2*J31 + K2*K31 + L2*L31</f>
        <v>#REF!</v>
      </c>
      <c r="N31" t="e">
        <f>P2+C2</f>
        <v>#REF!</v>
      </c>
      <c r="O31">
        <v>0</v>
      </c>
      <c r="P31">
        <v>0</v>
      </c>
      <c r="Q31">
        <v>0</v>
      </c>
      <c r="R31">
        <v>0</v>
      </c>
      <c r="S31">
        <v>0</v>
      </c>
    </row>
    <row r="32" spans="1:19" x14ac:dyDescent="0.25">
      <c r="A32" t="s">
        <v>231</v>
      </c>
      <c r="B32">
        <v>0</v>
      </c>
      <c r="C32">
        <v>20</v>
      </c>
      <c r="D32">
        <v>2</v>
      </c>
      <c r="E32">
        <v>0</v>
      </c>
      <c r="F32">
        <v>0</v>
      </c>
      <c r="G32">
        <v>0</v>
      </c>
      <c r="H32">
        <v>4</v>
      </c>
      <c r="I32">
        <v>0</v>
      </c>
      <c r="J32">
        <v>0</v>
      </c>
      <c r="K32">
        <v>0</v>
      </c>
      <c r="L32">
        <v>1</v>
      </c>
      <c r="M32" t="e">
        <f>13+B2*B32 + C2*C32 + D2*D32 + E2*E32 + F2*F32 + G2*G32 + H2*H32 + I2*I32 + J2*J32 + K2*K32 + L2*L32</f>
        <v>#REF!</v>
      </c>
      <c r="N32" t="e">
        <f>P2+C2</f>
        <v>#REF!</v>
      </c>
      <c r="O32">
        <v>0</v>
      </c>
      <c r="P32">
        <v>0</v>
      </c>
      <c r="Q32">
        <v>0</v>
      </c>
      <c r="R32">
        <v>0</v>
      </c>
      <c r="S32">
        <v>0</v>
      </c>
    </row>
    <row r="33" spans="1:20" x14ac:dyDescent="0.25">
      <c r="A33" t="s">
        <v>232</v>
      </c>
      <c r="B33">
        <v>0</v>
      </c>
      <c r="C33">
        <v>17</v>
      </c>
      <c r="D33">
        <v>2</v>
      </c>
      <c r="E33">
        <v>0</v>
      </c>
      <c r="F33">
        <v>0</v>
      </c>
      <c r="G33">
        <v>0</v>
      </c>
      <c r="H33">
        <v>4</v>
      </c>
      <c r="I33">
        <v>0</v>
      </c>
      <c r="J33">
        <v>0</v>
      </c>
      <c r="K33">
        <v>0</v>
      </c>
      <c r="L33">
        <v>2</v>
      </c>
      <c r="M33" t="e">
        <f>13+B2*B33 + C2*C33 + D2*D33 + E2*E33 + F2*F33 + G2*G33 + H2*H33 + I2*I33 + J2*J33 + K2*K33 + L2*L33</f>
        <v>#REF!</v>
      </c>
      <c r="N33" t="e">
        <f>P2+C2</f>
        <v>#REF!</v>
      </c>
      <c r="O33">
        <v>0</v>
      </c>
      <c r="P33">
        <v>0</v>
      </c>
      <c r="Q33">
        <v>0</v>
      </c>
      <c r="R33">
        <v>0</v>
      </c>
      <c r="S33">
        <v>0</v>
      </c>
    </row>
    <row r="34" spans="1:20" x14ac:dyDescent="0.25">
      <c r="A34" t="s">
        <v>233</v>
      </c>
      <c r="B34">
        <v>0</v>
      </c>
      <c r="C34">
        <v>19</v>
      </c>
      <c r="D34">
        <v>2</v>
      </c>
      <c r="E34">
        <v>0</v>
      </c>
      <c r="F34">
        <v>0</v>
      </c>
      <c r="G34">
        <v>0</v>
      </c>
      <c r="H34">
        <v>4</v>
      </c>
      <c r="I34">
        <v>0</v>
      </c>
      <c r="J34">
        <v>0</v>
      </c>
      <c r="K34">
        <v>0</v>
      </c>
      <c r="L34">
        <v>2</v>
      </c>
      <c r="M34" t="e">
        <f>13+B2*B34 + C2*C34 + D2*D34 + E2*E34 + F2*F34 + G2*G34 + H2*H34 + I2*I34 + J2*J34 + K2*K34 + L2*L34</f>
        <v>#REF!</v>
      </c>
      <c r="N34" t="e">
        <f>P2+C2</f>
        <v>#REF!</v>
      </c>
      <c r="O34">
        <v>0</v>
      </c>
      <c r="P34">
        <v>0</v>
      </c>
      <c r="Q34">
        <v>0</v>
      </c>
      <c r="R34">
        <v>0</v>
      </c>
      <c r="S34">
        <v>0</v>
      </c>
    </row>
    <row r="35" spans="1:20" x14ac:dyDescent="0.25">
      <c r="A35" t="s">
        <v>234</v>
      </c>
      <c r="B35">
        <v>0</v>
      </c>
      <c r="C35">
        <v>18</v>
      </c>
      <c r="D35">
        <v>2</v>
      </c>
      <c r="E35">
        <v>0</v>
      </c>
      <c r="F35">
        <v>0</v>
      </c>
      <c r="G35">
        <v>0</v>
      </c>
      <c r="H35">
        <v>4</v>
      </c>
      <c r="I35">
        <v>0</v>
      </c>
      <c r="J35">
        <v>0</v>
      </c>
      <c r="K35">
        <v>0</v>
      </c>
      <c r="L35">
        <v>3</v>
      </c>
      <c r="M35" t="e">
        <f>13+B2*B35 + C2*C35 + D2*D35 + E2*E35 + F2*F35 + G2*G35 + H2*H35 + I2*I35 + J2*J35 + K2*K35 + L2*L35</f>
        <v>#REF!</v>
      </c>
      <c r="N35" t="e">
        <f>P2+C2</f>
        <v>#REF!</v>
      </c>
      <c r="O35">
        <v>0</v>
      </c>
      <c r="P35">
        <v>0</v>
      </c>
      <c r="Q35">
        <v>0</v>
      </c>
      <c r="R35">
        <v>0</v>
      </c>
      <c r="S35">
        <v>0</v>
      </c>
    </row>
    <row r="36" spans="1:20" x14ac:dyDescent="0.25">
      <c r="A36" t="s">
        <v>235</v>
      </c>
      <c r="B36">
        <v>0</v>
      </c>
      <c r="C36">
        <v>19</v>
      </c>
      <c r="D36">
        <v>2</v>
      </c>
      <c r="E36">
        <v>0</v>
      </c>
      <c r="F36">
        <v>0</v>
      </c>
      <c r="G36">
        <v>0</v>
      </c>
      <c r="H36">
        <v>4</v>
      </c>
      <c r="I36">
        <v>0</v>
      </c>
      <c r="J36">
        <v>0</v>
      </c>
      <c r="K36">
        <v>0</v>
      </c>
      <c r="L36">
        <v>2</v>
      </c>
      <c r="M36" t="e">
        <f>13+B2*B36 + C2*C36 + D2*D36 + E2*E36 + F2*F36 + G2*G36 + H2*H36 + I2*I36 + J2*J36 + K2*K36 + L2*L36</f>
        <v>#REF!</v>
      </c>
      <c r="N36" t="e">
        <f>P2+C2</f>
        <v>#REF!</v>
      </c>
      <c r="O36">
        <v>0</v>
      </c>
      <c r="P36">
        <v>0</v>
      </c>
      <c r="Q36">
        <v>0</v>
      </c>
      <c r="R36">
        <v>0</v>
      </c>
      <c r="S36">
        <v>0</v>
      </c>
    </row>
    <row r="37" spans="1:20" x14ac:dyDescent="0.25">
      <c r="A37" t="s">
        <v>236</v>
      </c>
      <c r="B37">
        <v>0</v>
      </c>
      <c r="C37">
        <v>18</v>
      </c>
      <c r="D37">
        <v>2</v>
      </c>
      <c r="E37">
        <v>0</v>
      </c>
      <c r="F37">
        <v>0</v>
      </c>
      <c r="G37">
        <v>0</v>
      </c>
      <c r="H37">
        <v>4</v>
      </c>
      <c r="I37">
        <v>0</v>
      </c>
      <c r="J37">
        <v>0</v>
      </c>
      <c r="K37">
        <v>0</v>
      </c>
      <c r="L37">
        <v>1</v>
      </c>
      <c r="M37" t="e">
        <f>13+B2*B37 + C2*C37 + D2*D37 + E2*E37 + F2*F37 + G2*G37 + H2*H37 + I2*I37 + J2*J37 + K2*K37 + L2*L37</f>
        <v>#REF!</v>
      </c>
      <c r="N37" t="e">
        <f>P2+C2</f>
        <v>#REF!</v>
      </c>
      <c r="O37">
        <v>0</v>
      </c>
      <c r="P37">
        <v>0</v>
      </c>
      <c r="Q37">
        <v>0</v>
      </c>
      <c r="R37">
        <v>0</v>
      </c>
      <c r="S37">
        <v>0</v>
      </c>
    </row>
    <row r="38" spans="1:20" x14ac:dyDescent="0.25">
      <c r="A38" t="s">
        <v>237</v>
      </c>
      <c r="B38">
        <v>0</v>
      </c>
      <c r="C38">
        <v>17</v>
      </c>
      <c r="D38">
        <v>2</v>
      </c>
      <c r="E38">
        <v>0</v>
      </c>
      <c r="F38">
        <v>0</v>
      </c>
      <c r="G38">
        <v>0</v>
      </c>
      <c r="H38">
        <v>4</v>
      </c>
      <c r="I38">
        <v>0</v>
      </c>
      <c r="J38">
        <v>0</v>
      </c>
      <c r="K38">
        <v>0</v>
      </c>
      <c r="L38">
        <v>2</v>
      </c>
      <c r="M38" t="e">
        <f>13+B2*B38 + C2*C38 + D2*D38 + E2*E38 + F2*F38 + G2*G38 + H2*H38 + I2*I38 + J2*J38 + K2*K38 + L2*L38</f>
        <v>#REF!</v>
      </c>
      <c r="N38" t="e">
        <f>P2+C2</f>
        <v>#REF!</v>
      </c>
      <c r="O38">
        <v>0</v>
      </c>
      <c r="P38">
        <v>0</v>
      </c>
      <c r="Q38">
        <v>0</v>
      </c>
      <c r="R38">
        <v>0</v>
      </c>
      <c r="S38">
        <v>0</v>
      </c>
    </row>
    <row r="39" spans="1:20" x14ac:dyDescent="0.25">
      <c r="A39" t="s">
        <v>238</v>
      </c>
      <c r="B39">
        <v>0</v>
      </c>
      <c r="C39">
        <v>17</v>
      </c>
      <c r="D39">
        <v>2</v>
      </c>
      <c r="E39">
        <v>0</v>
      </c>
      <c r="F39">
        <v>0</v>
      </c>
      <c r="G39">
        <v>0</v>
      </c>
      <c r="H39">
        <v>4</v>
      </c>
      <c r="I39">
        <v>0</v>
      </c>
      <c r="J39">
        <v>0</v>
      </c>
      <c r="K39">
        <v>0</v>
      </c>
      <c r="L39">
        <v>1</v>
      </c>
      <c r="M39" t="e">
        <f>13+B2*B39 + C2*C39 + D2*D39 + E2*E39 + F2*F39 + G2*G39 + H2*H39 + I2*I39 + J2*J39 + K2*K39 + L2*L39</f>
        <v>#REF!</v>
      </c>
      <c r="N39" t="e">
        <f>P2+C2</f>
        <v>#REF!</v>
      </c>
      <c r="O39">
        <v>0</v>
      </c>
      <c r="P39">
        <v>0</v>
      </c>
      <c r="Q39">
        <v>0</v>
      </c>
      <c r="R39">
        <v>0</v>
      </c>
      <c r="S39">
        <v>0</v>
      </c>
    </row>
    <row r="40" spans="1:20" x14ac:dyDescent="0.25">
      <c r="A40" t="s">
        <v>239</v>
      </c>
      <c r="B40">
        <v>0</v>
      </c>
      <c r="C40">
        <v>18</v>
      </c>
      <c r="D40">
        <v>2</v>
      </c>
      <c r="E40">
        <v>0</v>
      </c>
      <c r="F40">
        <v>0</v>
      </c>
      <c r="G40">
        <v>0</v>
      </c>
      <c r="H40">
        <v>4</v>
      </c>
      <c r="I40">
        <v>0</v>
      </c>
      <c r="J40">
        <v>0</v>
      </c>
      <c r="K40">
        <v>0</v>
      </c>
      <c r="L40">
        <v>1</v>
      </c>
      <c r="M40" t="e">
        <f>13+B2*B40 + C2*C40 + D2*D40 + E2*E40 + F2*F40 + G2*G40 + H2*H40 + I2*I40 + J2*J40 + K2*K40 + L2*L40</f>
        <v>#REF!</v>
      </c>
      <c r="N40" t="e">
        <f>P2+C2</f>
        <v>#REF!</v>
      </c>
      <c r="O40">
        <v>0</v>
      </c>
      <c r="P40">
        <v>0</v>
      </c>
      <c r="Q40">
        <v>0</v>
      </c>
      <c r="R40">
        <v>0</v>
      </c>
      <c r="S40">
        <v>0</v>
      </c>
    </row>
    <row r="41" spans="1:20" x14ac:dyDescent="0.25">
      <c r="A41" t="s">
        <v>240</v>
      </c>
      <c r="B41">
        <v>0</v>
      </c>
      <c r="C41">
        <v>17</v>
      </c>
      <c r="D41">
        <v>2</v>
      </c>
      <c r="E41">
        <v>0</v>
      </c>
      <c r="F41">
        <v>0</v>
      </c>
      <c r="G41">
        <v>0</v>
      </c>
      <c r="H41">
        <v>4</v>
      </c>
      <c r="I41">
        <v>0</v>
      </c>
      <c r="J41">
        <v>0</v>
      </c>
      <c r="K41">
        <v>0</v>
      </c>
      <c r="L41">
        <v>1</v>
      </c>
      <c r="M41" t="e">
        <f>13+B2*B41 + C2*C41 + D2*D41 + E2*E41 + F2*F41 + G2*G41 + H2*H41 + I2*I41 + J2*J41 + K2*K41 + L2*L41</f>
        <v>#REF!</v>
      </c>
      <c r="N41" t="e">
        <f>P2+C2</f>
        <v>#REF!</v>
      </c>
      <c r="O41">
        <v>0</v>
      </c>
      <c r="P41">
        <v>0</v>
      </c>
      <c r="Q41">
        <v>0</v>
      </c>
      <c r="R41">
        <v>0</v>
      </c>
      <c r="S41">
        <v>0</v>
      </c>
    </row>
    <row r="42" spans="1:20" x14ac:dyDescent="0.25">
      <c r="A42" t="s">
        <v>241</v>
      </c>
      <c r="B42">
        <v>0</v>
      </c>
      <c r="C42">
        <v>19</v>
      </c>
      <c r="D42">
        <v>2</v>
      </c>
      <c r="E42">
        <v>0</v>
      </c>
      <c r="F42">
        <v>0</v>
      </c>
      <c r="G42">
        <v>0</v>
      </c>
      <c r="H42">
        <v>4</v>
      </c>
      <c r="I42">
        <v>0</v>
      </c>
      <c r="J42">
        <v>0</v>
      </c>
      <c r="K42">
        <v>0</v>
      </c>
      <c r="L42">
        <v>1</v>
      </c>
      <c r="M42" t="e">
        <f>13+B2*B42 + C2*C42 + D2*D42 + E2*E42 + F2*F42 + G2*G42 + H2*H42 + I2*I42 + J2*J42 + K2*K42 + L2*L42</f>
        <v>#REF!</v>
      </c>
      <c r="N42" t="e">
        <f>P2+C2</f>
        <v>#REF!</v>
      </c>
      <c r="O42">
        <v>0</v>
      </c>
      <c r="P42">
        <v>0</v>
      </c>
      <c r="Q42">
        <v>0</v>
      </c>
      <c r="R42">
        <v>0</v>
      </c>
      <c r="S42">
        <v>0</v>
      </c>
    </row>
    <row r="43" spans="1:20" x14ac:dyDescent="0.25">
      <c r="A43" t="s">
        <v>242</v>
      </c>
      <c r="B43">
        <v>0</v>
      </c>
      <c r="C43">
        <v>21</v>
      </c>
      <c r="D43">
        <v>2</v>
      </c>
      <c r="E43">
        <v>0</v>
      </c>
      <c r="F43">
        <v>0</v>
      </c>
      <c r="G43">
        <v>0</v>
      </c>
      <c r="H43">
        <v>4</v>
      </c>
      <c r="I43">
        <v>0</v>
      </c>
      <c r="J43">
        <v>0</v>
      </c>
      <c r="K43">
        <v>0</v>
      </c>
      <c r="L43">
        <v>3</v>
      </c>
      <c r="M43" t="e">
        <f>13+B2*B43 + C2*C43 + D2*D43 + E2*E43 + F2*F43 + G2*G43 + H2*H43 + I2*I43 + J2*J43 + K2*K43 + L2*L43</f>
        <v>#REF!</v>
      </c>
      <c r="N43" t="e">
        <f>P2+C2</f>
        <v>#REF!</v>
      </c>
      <c r="O43">
        <v>0</v>
      </c>
      <c r="P43">
        <v>0</v>
      </c>
      <c r="Q43">
        <v>0</v>
      </c>
      <c r="R43">
        <v>0</v>
      </c>
      <c r="S43">
        <v>0</v>
      </c>
    </row>
    <row r="44" spans="1:20" x14ac:dyDescent="0.25">
      <c r="A44" t="s">
        <v>243</v>
      </c>
      <c r="B44">
        <v>0</v>
      </c>
      <c r="C44">
        <v>16</v>
      </c>
      <c r="D44">
        <v>2</v>
      </c>
      <c r="E44">
        <v>0</v>
      </c>
      <c r="F44">
        <v>0</v>
      </c>
      <c r="G44">
        <v>0</v>
      </c>
      <c r="H44">
        <v>4</v>
      </c>
      <c r="I44">
        <v>0</v>
      </c>
      <c r="J44">
        <v>0</v>
      </c>
      <c r="K44">
        <v>0</v>
      </c>
      <c r="L44">
        <v>1</v>
      </c>
      <c r="M44" t="e">
        <f>13+B2*B44 + C2*C44 + D2*D44 + E2*E44 + F2*F44 + G2*G44 + H2*H44 + I2*I44 + J2*J44 + K2*K44 + L2*L44</f>
        <v>#REF!</v>
      </c>
      <c r="N44" t="e">
        <f>P2+C2</f>
        <v>#REF!</v>
      </c>
      <c r="O44">
        <v>0</v>
      </c>
      <c r="P44">
        <v>0</v>
      </c>
      <c r="Q44">
        <v>0</v>
      </c>
      <c r="R44">
        <v>0</v>
      </c>
      <c r="S44">
        <v>0</v>
      </c>
    </row>
    <row r="45" spans="1:20" x14ac:dyDescent="0.25">
      <c r="A45" t="s">
        <v>244</v>
      </c>
      <c r="B45">
        <v>0</v>
      </c>
      <c r="C45">
        <v>21</v>
      </c>
      <c r="D45">
        <v>2</v>
      </c>
      <c r="E45">
        <v>0</v>
      </c>
      <c r="F45">
        <v>0</v>
      </c>
      <c r="G45">
        <v>0</v>
      </c>
      <c r="H45">
        <v>4</v>
      </c>
      <c r="I45">
        <v>0</v>
      </c>
      <c r="J45">
        <v>0</v>
      </c>
      <c r="K45">
        <v>0</v>
      </c>
      <c r="L45">
        <v>4</v>
      </c>
      <c r="M45" t="e">
        <f>13+B2*B45 + C2*C45 + D2*D45 + E2*E45 + F2*F45 + G2*G45 + H2*H45 + I2*I45 + J2*J45 + K2*K45 + L2*L45</f>
        <v>#REF!</v>
      </c>
      <c r="N45" t="e">
        <f>P2+C2</f>
        <v>#REF!</v>
      </c>
      <c r="O45">
        <v>0</v>
      </c>
      <c r="P45">
        <v>0</v>
      </c>
      <c r="Q45">
        <v>0</v>
      </c>
      <c r="R45">
        <v>0</v>
      </c>
      <c r="S45">
        <v>0</v>
      </c>
    </row>
    <row r="46" spans="1:20" x14ac:dyDescent="0.25">
      <c r="A46" t="s">
        <v>245</v>
      </c>
      <c r="B46">
        <v>0</v>
      </c>
      <c r="C46">
        <v>27</v>
      </c>
      <c r="D46">
        <v>2</v>
      </c>
      <c r="E46">
        <v>0</v>
      </c>
      <c r="F46">
        <v>0</v>
      </c>
      <c r="G46">
        <v>0</v>
      </c>
      <c r="H46">
        <v>4</v>
      </c>
      <c r="I46">
        <v>0</v>
      </c>
      <c r="J46">
        <v>0</v>
      </c>
      <c r="K46">
        <v>0</v>
      </c>
      <c r="L46">
        <v>2</v>
      </c>
      <c r="M46" t="e">
        <f>13+B2*B46 + C2*C46 + D2*D46 + E2*E46 + F2*F46 + G2*G46 + H2*H46 + I2*I46 + J2*J46 + K2*K46 + L2*L46</f>
        <v>#REF!</v>
      </c>
      <c r="N46" t="e">
        <f>P2+C2</f>
        <v>#REF!</v>
      </c>
      <c r="O46">
        <v>0</v>
      </c>
      <c r="P46">
        <v>0</v>
      </c>
      <c r="Q46">
        <v>0</v>
      </c>
      <c r="R46">
        <v>0</v>
      </c>
      <c r="S46">
        <v>0</v>
      </c>
    </row>
    <row r="47" spans="1:20" x14ac:dyDescent="0.25">
      <c r="A47" t="s">
        <v>246</v>
      </c>
      <c r="B47">
        <v>0</v>
      </c>
      <c r="C47">
        <v>19</v>
      </c>
      <c r="D47">
        <v>2</v>
      </c>
      <c r="E47">
        <v>0</v>
      </c>
      <c r="F47">
        <v>0</v>
      </c>
      <c r="G47">
        <v>0</v>
      </c>
      <c r="H47">
        <v>4</v>
      </c>
      <c r="I47">
        <v>0</v>
      </c>
      <c r="J47">
        <v>0</v>
      </c>
      <c r="K47">
        <v>0</v>
      </c>
      <c r="L47">
        <v>2</v>
      </c>
      <c r="M47" t="e">
        <f>13+B2*B47 + C2*C47 + D2*D47 + E2*E47 + F2*F47 + G2*G47 + H2*H47 + I2*I47 + J2*J47 + K2*K47 + L2*L47</f>
        <v>#REF!</v>
      </c>
      <c r="N47" t="e">
        <f>P2+C2</f>
        <v>#REF!</v>
      </c>
      <c r="O47">
        <v>0</v>
      </c>
      <c r="P47">
        <v>0</v>
      </c>
      <c r="Q47">
        <v>0</v>
      </c>
      <c r="R47">
        <v>0</v>
      </c>
      <c r="S47">
        <v>0</v>
      </c>
    </row>
    <row r="48" spans="1:20" x14ac:dyDescent="0.25">
      <c r="A48" t="s">
        <v>120</v>
      </c>
      <c r="B48">
        <v>0</v>
      </c>
      <c r="C48">
        <v>17</v>
      </c>
      <c r="D48">
        <v>2</v>
      </c>
      <c r="E48">
        <v>1</v>
      </c>
      <c r="F48">
        <v>0</v>
      </c>
      <c r="G48">
        <v>0</v>
      </c>
      <c r="H48">
        <v>3</v>
      </c>
      <c r="I48">
        <v>1</v>
      </c>
      <c r="J48">
        <v>0</v>
      </c>
      <c r="K48">
        <v>0</v>
      </c>
      <c r="L48">
        <v>0</v>
      </c>
      <c r="M48" t="e">
        <f>13+B2*B48 + C2*C48 + D2*D48 + E2*E48 + F2*F48 + G2*G48 + H2*H48 + I2*I48 + J2*J48 + K2*K48 + L2*L48</f>
        <v>#REF!</v>
      </c>
      <c r="N48" t="e">
        <f>P2+E2</f>
        <v>#REF!</v>
      </c>
      <c r="O48" t="e">
        <f>P2+I2+C2+C2</f>
        <v>#REF!</v>
      </c>
      <c r="P48">
        <v>0</v>
      </c>
      <c r="Q48">
        <v>0</v>
      </c>
      <c r="R48">
        <v>0</v>
      </c>
      <c r="S48">
        <v>0</v>
      </c>
      <c r="T48" t="s">
        <v>108</v>
      </c>
    </row>
    <row r="49" spans="1:19" x14ac:dyDescent="0.25">
      <c r="A49" t="s">
        <v>121</v>
      </c>
      <c r="B49">
        <v>0</v>
      </c>
      <c r="C49">
        <v>19</v>
      </c>
      <c r="D49">
        <v>2</v>
      </c>
      <c r="E49">
        <v>1</v>
      </c>
      <c r="F49">
        <v>0</v>
      </c>
      <c r="G49">
        <v>0</v>
      </c>
      <c r="H49">
        <v>3</v>
      </c>
      <c r="I49">
        <v>1</v>
      </c>
      <c r="J49">
        <v>0</v>
      </c>
      <c r="K49">
        <v>0</v>
      </c>
      <c r="L49">
        <v>0</v>
      </c>
      <c r="M49" t="e">
        <f>13+B2*B49 + C2*C49 + D2*D49 + E2*E49 + F2*F49 + G2*G49 + H2*H49 + I2*I49 + J2*J49 + K2*K49 + L2*L49</f>
        <v>#REF!</v>
      </c>
      <c r="N49" t="e">
        <f>P2+E2</f>
        <v>#REF!</v>
      </c>
      <c r="O49" t="e">
        <f>P2+I2+C2+C2+C2</f>
        <v>#REF!</v>
      </c>
      <c r="P49">
        <v>0</v>
      </c>
      <c r="Q49">
        <v>0</v>
      </c>
      <c r="R49">
        <v>0</v>
      </c>
      <c r="S49">
        <v>0</v>
      </c>
    </row>
    <row r="50" spans="1:19" x14ac:dyDescent="0.25">
      <c r="A50" t="s">
        <v>122</v>
      </c>
      <c r="B50">
        <v>0</v>
      </c>
      <c r="C50">
        <v>18</v>
      </c>
      <c r="D50">
        <v>2</v>
      </c>
      <c r="E50">
        <v>1</v>
      </c>
      <c r="F50">
        <v>0</v>
      </c>
      <c r="G50">
        <v>0</v>
      </c>
      <c r="H50">
        <v>3</v>
      </c>
      <c r="I50">
        <v>1</v>
      </c>
      <c r="J50">
        <v>0</v>
      </c>
      <c r="K50">
        <v>0</v>
      </c>
      <c r="L50">
        <v>0</v>
      </c>
      <c r="M50" t="e">
        <f>13+B2*B50 + C2*C50 + D2*D50 + E2*E50 + F2*F50 + G2*G50 + H2*H50 + I2*I50 + J2*J50 + K2*K50 + L2*L50</f>
        <v>#REF!</v>
      </c>
      <c r="N50" t="e">
        <f>P2+E2</f>
        <v>#REF!</v>
      </c>
      <c r="O50" t="e">
        <f>P2+C2</f>
        <v>#REF!</v>
      </c>
      <c r="P50" t="e">
        <f>P2+I2+C2</f>
        <v>#REF!</v>
      </c>
      <c r="Q50">
        <v>0</v>
      </c>
      <c r="R50">
        <v>0</v>
      </c>
      <c r="S50">
        <v>0</v>
      </c>
    </row>
    <row r="51" spans="1:19" x14ac:dyDescent="0.25">
      <c r="A51" t="s">
        <v>123</v>
      </c>
      <c r="B51">
        <v>0</v>
      </c>
      <c r="C51">
        <v>26</v>
      </c>
      <c r="D51">
        <v>2</v>
      </c>
      <c r="E51">
        <v>1</v>
      </c>
      <c r="F51">
        <v>0</v>
      </c>
      <c r="G51">
        <v>0</v>
      </c>
      <c r="H51">
        <v>3</v>
      </c>
      <c r="I51">
        <v>2</v>
      </c>
      <c r="J51">
        <v>0</v>
      </c>
      <c r="K51">
        <v>0</v>
      </c>
      <c r="L51">
        <v>1</v>
      </c>
      <c r="M51" t="e">
        <f>13+B2*B51 + C2*C51 + D2*D51 + E2*E51 + F2*F51 + G2*G51 + H2*H51 + I2*I51 + J2*J51 + K2*K51 + L2*L51</f>
        <v>#REF!</v>
      </c>
      <c r="N51" t="e">
        <f>P2+E2</f>
        <v>#REF!</v>
      </c>
      <c r="O51">
        <v>0</v>
      </c>
      <c r="P51">
        <v>0</v>
      </c>
      <c r="Q51">
        <v>0</v>
      </c>
      <c r="R51">
        <v>0</v>
      </c>
      <c r="S51">
        <v>0</v>
      </c>
    </row>
    <row r="52" spans="1:19" x14ac:dyDescent="0.25">
      <c r="A52" t="s">
        <v>124</v>
      </c>
      <c r="B52">
        <v>1</v>
      </c>
      <c r="C52">
        <v>17</v>
      </c>
      <c r="D52">
        <v>2</v>
      </c>
      <c r="E52">
        <v>1</v>
      </c>
      <c r="F52">
        <v>0</v>
      </c>
      <c r="G52">
        <v>0</v>
      </c>
      <c r="H52">
        <v>3</v>
      </c>
      <c r="I52">
        <v>1</v>
      </c>
      <c r="J52">
        <v>0</v>
      </c>
      <c r="K52">
        <v>0</v>
      </c>
      <c r="L52">
        <v>2</v>
      </c>
      <c r="M52" t="e">
        <f>13+B2*B52 + C2*C52 + D2*D52 + E2*E52 + F2*F52 + G2*G52 + H2*H52 + I2*I52 + J2*J52 + K2*K52 + L2*L52</f>
        <v>#REF!</v>
      </c>
      <c r="N52" t="e">
        <f>P2+E2</f>
        <v>#REF!</v>
      </c>
      <c r="O52">
        <v>0</v>
      </c>
      <c r="P52">
        <v>0</v>
      </c>
      <c r="Q52">
        <v>0</v>
      </c>
      <c r="R52">
        <v>0</v>
      </c>
      <c r="S52">
        <v>0</v>
      </c>
    </row>
    <row r="53" spans="1:19" x14ac:dyDescent="0.25">
      <c r="A53" t="s">
        <v>125</v>
      </c>
      <c r="B53">
        <v>0</v>
      </c>
      <c r="C53">
        <v>17</v>
      </c>
      <c r="D53">
        <v>2</v>
      </c>
      <c r="E53">
        <v>1</v>
      </c>
      <c r="F53">
        <v>1</v>
      </c>
      <c r="G53">
        <v>0</v>
      </c>
      <c r="H53">
        <v>3</v>
      </c>
      <c r="I53">
        <v>8</v>
      </c>
      <c r="J53">
        <v>0</v>
      </c>
      <c r="K53">
        <v>0</v>
      </c>
      <c r="L53">
        <v>0</v>
      </c>
      <c r="M53" t="e">
        <f>13+B2*B53 + C2*C53 + D2*D53 + E2*E53 + F2*F53 + G2*G53 + H2*H53 + I2*I53 + J2*J53 + K2*K53 + L2*L53</f>
        <v>#REF!</v>
      </c>
      <c r="N53" t="e">
        <f>P2+E2</f>
        <v>#REF!</v>
      </c>
      <c r="O53" t="e">
        <f>P2+I2</f>
        <v>#REF!</v>
      </c>
      <c r="P53" t="e">
        <f>P2+I2</f>
        <v>#REF!</v>
      </c>
      <c r="Q53" t="e">
        <f>P2+I2</f>
        <v>#REF!</v>
      </c>
      <c r="R53" t="e">
        <f>P2+C2+B2</f>
        <v>#REF!</v>
      </c>
      <c r="S53" t="e">
        <f>P2+C2+B2</f>
        <v>#REF!</v>
      </c>
    </row>
    <row r="54" spans="1:19" x14ac:dyDescent="0.25">
      <c r="A54" t="s">
        <v>126</v>
      </c>
      <c r="B54">
        <v>0</v>
      </c>
      <c r="C54">
        <v>10</v>
      </c>
      <c r="D54">
        <v>2</v>
      </c>
      <c r="E54">
        <v>1</v>
      </c>
      <c r="F54">
        <v>0</v>
      </c>
      <c r="G54">
        <v>0</v>
      </c>
      <c r="H54">
        <v>2</v>
      </c>
      <c r="I54">
        <v>2</v>
      </c>
      <c r="J54">
        <v>0</v>
      </c>
      <c r="K54">
        <v>0</v>
      </c>
      <c r="L54">
        <v>0</v>
      </c>
      <c r="M54" t="e">
        <f>13+B2*B54 + C2*C54 + D2*D54 + E2*E54 + F2*F54 + G2*G54 + H2*H54 + I2*I54 + J2*J54 + K2*K54 + L2*L54</f>
        <v>#REF!</v>
      </c>
      <c r="N54" t="e">
        <f>P2+E2</f>
        <v>#REF!</v>
      </c>
      <c r="O54" t="e">
        <f>P2+I2</f>
        <v>#REF!</v>
      </c>
      <c r="P54">
        <v>0</v>
      </c>
      <c r="Q54">
        <v>0</v>
      </c>
      <c r="R54">
        <v>0</v>
      </c>
      <c r="S54">
        <v>0</v>
      </c>
    </row>
    <row r="55" spans="1:19" x14ac:dyDescent="0.25">
      <c r="A55" t="s">
        <v>127</v>
      </c>
      <c r="B55">
        <v>8</v>
      </c>
      <c r="C55">
        <v>24</v>
      </c>
      <c r="D55">
        <v>2</v>
      </c>
      <c r="E55">
        <v>1</v>
      </c>
      <c r="F55">
        <v>0</v>
      </c>
      <c r="G55">
        <v>0</v>
      </c>
      <c r="H55">
        <v>1</v>
      </c>
      <c r="I55">
        <v>1</v>
      </c>
      <c r="J55">
        <v>0</v>
      </c>
      <c r="K55">
        <v>0</v>
      </c>
      <c r="L55">
        <v>0</v>
      </c>
      <c r="M55" t="e">
        <f>13+B2*B55 + C2*C55 + D2*D55 + E2*E55 + F2*F55 + G2*G55 + H2*H55 + I2*I55 + J2*J55 + K2*K55 + L2*L55</f>
        <v>#REF!</v>
      </c>
      <c r="N55" t="e">
        <f>P2+E2</f>
        <v>#REF!</v>
      </c>
      <c r="O55" t="e">
        <f>P2+I2</f>
        <v>#REF!</v>
      </c>
      <c r="P55">
        <v>0</v>
      </c>
      <c r="Q55">
        <v>0</v>
      </c>
      <c r="R55">
        <v>0</v>
      </c>
      <c r="S55">
        <v>0</v>
      </c>
    </row>
    <row r="56" spans="1:19" x14ac:dyDescent="0.25">
      <c r="A56" t="s">
        <v>128</v>
      </c>
      <c r="B56">
        <v>0</v>
      </c>
      <c r="C56">
        <v>6</v>
      </c>
      <c r="D56">
        <v>2</v>
      </c>
      <c r="E56">
        <v>1</v>
      </c>
      <c r="F56">
        <v>0</v>
      </c>
      <c r="G56">
        <v>0</v>
      </c>
      <c r="H56">
        <v>1</v>
      </c>
      <c r="I56">
        <v>1</v>
      </c>
      <c r="J56">
        <v>0</v>
      </c>
      <c r="K56">
        <v>0</v>
      </c>
      <c r="L56">
        <v>10</v>
      </c>
      <c r="M56" t="e">
        <f>13+B2*B56 + C2*C56 + D2*D56 + E2*E56 + F2*F56 + G2*G56 + H2*H56 + I2*I56 + J2*J56 + K2*K56 + L2*L56</f>
        <v>#REF!</v>
      </c>
      <c r="N56" t="e">
        <f>P2+E2</f>
        <v>#REF!</v>
      </c>
      <c r="O56" t="e">
        <f>P2+I2</f>
        <v>#REF!</v>
      </c>
      <c r="P56">
        <v>0</v>
      </c>
      <c r="Q56">
        <v>0</v>
      </c>
      <c r="R56">
        <v>0</v>
      </c>
      <c r="S56">
        <v>0</v>
      </c>
    </row>
    <row r="57" spans="1:19" x14ac:dyDescent="0.25">
      <c r="A57" t="s">
        <v>129</v>
      </c>
      <c r="B57">
        <v>0</v>
      </c>
      <c r="C57">
        <v>6</v>
      </c>
      <c r="D57">
        <v>2</v>
      </c>
      <c r="E57">
        <v>1</v>
      </c>
      <c r="F57">
        <v>0</v>
      </c>
      <c r="G57">
        <v>0</v>
      </c>
      <c r="H57">
        <v>1</v>
      </c>
      <c r="I57">
        <v>1</v>
      </c>
      <c r="J57">
        <v>13</v>
      </c>
      <c r="K57">
        <v>0</v>
      </c>
      <c r="L57">
        <v>6</v>
      </c>
      <c r="M57" t="e">
        <f>13+B2*B57 + C2*C57 + D2*D57 + E2*E57 + F2*F57 + G2*G57 + H2*H57 + I2*I57 + J2*J57 + K2*K57 + L2*L57</f>
        <v>#REF!</v>
      </c>
      <c r="N57" t="e">
        <f>P2+E2</f>
        <v>#REF!</v>
      </c>
      <c r="O57" t="e">
        <f>P2+I2</f>
        <v>#REF!</v>
      </c>
      <c r="P57">
        <v>0</v>
      </c>
      <c r="Q57">
        <v>0</v>
      </c>
      <c r="R57">
        <v>0</v>
      </c>
      <c r="S57">
        <v>0</v>
      </c>
    </row>
    <row r="58" spans="1:19" x14ac:dyDescent="0.25">
      <c r="A58" t="s">
        <v>130</v>
      </c>
      <c r="B58">
        <v>0</v>
      </c>
      <c r="C58">
        <v>6</v>
      </c>
      <c r="D58">
        <v>2</v>
      </c>
      <c r="E58">
        <v>1</v>
      </c>
      <c r="F58">
        <v>0</v>
      </c>
      <c r="G58">
        <v>0</v>
      </c>
      <c r="H58">
        <v>1</v>
      </c>
      <c r="I58">
        <v>1</v>
      </c>
      <c r="J58">
        <v>13</v>
      </c>
      <c r="K58">
        <v>0</v>
      </c>
      <c r="L58">
        <v>6</v>
      </c>
      <c r="M58" t="e">
        <f>13+B2*B58 + C2*C58 + D2*D58 + E2*E58 + F2*F58 + G2*G58 + H2*H58 + I2*I58 + J2*J58 + K2*K58 + L2*L58</f>
        <v>#REF!</v>
      </c>
      <c r="N58" t="e">
        <f>P2+E2</f>
        <v>#REF!</v>
      </c>
      <c r="O58" t="e">
        <f>P2+I2</f>
        <v>#REF!</v>
      </c>
      <c r="P58">
        <v>0</v>
      </c>
      <c r="Q58">
        <v>0</v>
      </c>
      <c r="R58">
        <v>0</v>
      </c>
      <c r="S58">
        <v>0</v>
      </c>
    </row>
    <row r="59" spans="1:19" x14ac:dyDescent="0.25">
      <c r="A59" t="s">
        <v>167</v>
      </c>
      <c r="B59">
        <v>0</v>
      </c>
      <c r="C59">
        <v>6</v>
      </c>
      <c r="D59">
        <v>2</v>
      </c>
      <c r="E59">
        <v>1</v>
      </c>
      <c r="F59">
        <v>0</v>
      </c>
      <c r="G59">
        <v>0</v>
      </c>
      <c r="H59">
        <v>1</v>
      </c>
      <c r="I59">
        <v>1</v>
      </c>
      <c r="J59">
        <v>13</v>
      </c>
      <c r="K59">
        <v>0</v>
      </c>
      <c r="L59">
        <v>6</v>
      </c>
      <c r="M59" t="e">
        <f>13+B2*B59 + C2*C59 + D2*D59 + E2*E59 + F2*F59 + G2*G59 + H2*H59 + I2*I59 + J2*J59 + K2*K59 + L2*L59</f>
        <v>#REF!</v>
      </c>
      <c r="N59" t="e">
        <f>P2+E2</f>
        <v>#REF!</v>
      </c>
      <c r="O59" t="e">
        <f>P2+I2</f>
        <v>#REF!</v>
      </c>
      <c r="P59">
        <v>0</v>
      </c>
      <c r="Q59">
        <v>0</v>
      </c>
      <c r="R59">
        <v>0</v>
      </c>
      <c r="S59">
        <v>0</v>
      </c>
    </row>
    <row r="60" spans="1:19" x14ac:dyDescent="0.25">
      <c r="A60" t="s">
        <v>132</v>
      </c>
      <c r="B60">
        <v>0</v>
      </c>
      <c r="C60">
        <v>14</v>
      </c>
      <c r="D60">
        <v>2</v>
      </c>
      <c r="E60">
        <v>1</v>
      </c>
      <c r="F60">
        <v>0</v>
      </c>
      <c r="G60">
        <v>0</v>
      </c>
      <c r="H60">
        <v>3</v>
      </c>
      <c r="I60">
        <v>1</v>
      </c>
      <c r="J60">
        <v>0</v>
      </c>
      <c r="K60">
        <v>0</v>
      </c>
      <c r="L60">
        <v>0</v>
      </c>
      <c r="M60" t="e">
        <f>13+B2*B60 + C2*C60 + D2*D60 + E2*E60 + F2*F60 + G2*G60 + H2*H60 + I2*I60 + J2*J60 + K2*K60 + L2*L60</f>
        <v>#REF!</v>
      </c>
      <c r="N60" t="e">
        <f>P2+E2</f>
        <v>#REF!</v>
      </c>
      <c r="O60">
        <v>0</v>
      </c>
      <c r="P60">
        <v>0</v>
      </c>
      <c r="Q60">
        <v>0</v>
      </c>
      <c r="R60">
        <v>0</v>
      </c>
      <c r="S60">
        <v>0</v>
      </c>
    </row>
    <row r="61" spans="1:19" x14ac:dyDescent="0.25">
      <c r="A61" t="s">
        <v>134</v>
      </c>
      <c r="B61">
        <v>0</v>
      </c>
      <c r="C61">
        <v>13</v>
      </c>
      <c r="D61">
        <v>3</v>
      </c>
      <c r="E61">
        <v>1</v>
      </c>
      <c r="F61">
        <v>0</v>
      </c>
      <c r="G61">
        <v>0</v>
      </c>
      <c r="H61">
        <v>4</v>
      </c>
      <c r="I61">
        <v>4</v>
      </c>
      <c r="J61">
        <v>0</v>
      </c>
      <c r="K61">
        <v>0</v>
      </c>
      <c r="L61">
        <v>0</v>
      </c>
      <c r="M61" t="e">
        <f>13+B2*B61 + C2*C61 + D2*D61 + E2*E61 + F2*F61 + G2*G61 + H2*H61 + I2*I61 + J2*J61 + K2*K61 + L2*L61</f>
        <v>#REF!</v>
      </c>
      <c r="N61" t="e">
        <f>P2+E2</f>
        <v>#REF!</v>
      </c>
      <c r="O61" t="e">
        <f>P2+I2</f>
        <v>#REF!</v>
      </c>
      <c r="P61" t="e">
        <f>P2+I2</f>
        <v>#REF!</v>
      </c>
      <c r="Q61" t="e">
        <f>P2+I2</f>
        <v>#REF!</v>
      </c>
      <c r="R61" t="e">
        <f>P2+C2+B2</f>
        <v>#REF!</v>
      </c>
      <c r="S61" t="e">
        <f>P2+C2+B2</f>
        <v>#REF!</v>
      </c>
    </row>
    <row r="62" spans="1:19" x14ac:dyDescent="0.25">
      <c r="A62" t="s">
        <v>135</v>
      </c>
      <c r="B62">
        <v>0</v>
      </c>
      <c r="C62">
        <v>9</v>
      </c>
      <c r="D62">
        <v>2</v>
      </c>
      <c r="E62">
        <v>1</v>
      </c>
      <c r="F62">
        <v>1</v>
      </c>
      <c r="G62">
        <v>0</v>
      </c>
      <c r="H62">
        <v>2</v>
      </c>
      <c r="I62">
        <v>2</v>
      </c>
      <c r="J62">
        <v>0</v>
      </c>
      <c r="K62">
        <v>0</v>
      </c>
      <c r="L62">
        <v>0</v>
      </c>
      <c r="M62" t="e">
        <f>13+B2*B62 + C2*C62 + D2*D62 + E2*E62 + F2*F62 + G2*G62 + H2*H62 + I2*I62 + J2*J62 + K2*K62 + L2*L62</f>
        <v>#REF!</v>
      </c>
      <c r="N62" t="e">
        <f>P2+E2</f>
        <v>#REF!</v>
      </c>
      <c r="O62" t="e">
        <f>P2+I2</f>
        <v>#REF!</v>
      </c>
      <c r="P62" t="e">
        <f>P2+I2+F2</f>
        <v>#REF!</v>
      </c>
      <c r="Q62">
        <v>0</v>
      </c>
      <c r="R62">
        <v>0</v>
      </c>
      <c r="S62">
        <v>0</v>
      </c>
    </row>
    <row r="63" spans="1:19" x14ac:dyDescent="0.25">
      <c r="A63" t="s">
        <v>136</v>
      </c>
      <c r="B63">
        <v>0</v>
      </c>
      <c r="C63">
        <v>15</v>
      </c>
      <c r="D63">
        <v>2</v>
      </c>
      <c r="E63">
        <v>1</v>
      </c>
      <c r="F63">
        <v>0</v>
      </c>
      <c r="G63">
        <v>0</v>
      </c>
      <c r="H63">
        <v>4</v>
      </c>
      <c r="I63">
        <v>2</v>
      </c>
      <c r="J63">
        <v>0</v>
      </c>
      <c r="K63">
        <v>0</v>
      </c>
      <c r="L63">
        <v>1</v>
      </c>
      <c r="M63" t="e">
        <f>13+B2*B63 + C2*C63 + D2*D63 + E2*E63 + F2*F63 + G2*G63 + H2*H63 + I2*I63 + J2*J63 + K2*K63 + L2*L63</f>
        <v>#REF!</v>
      </c>
      <c r="N63" t="e">
        <f>P2+E2</f>
        <v>#REF!</v>
      </c>
      <c r="O63" t="e">
        <f>P2+C2+B2</f>
        <v>#REF!</v>
      </c>
      <c r="P63">
        <v>0</v>
      </c>
      <c r="Q63">
        <v>0</v>
      </c>
      <c r="R63">
        <v>0</v>
      </c>
      <c r="S63">
        <v>0</v>
      </c>
    </row>
    <row r="64" spans="1:19" x14ac:dyDescent="0.25">
      <c r="A64" t="s">
        <v>137</v>
      </c>
      <c r="B64">
        <v>0</v>
      </c>
      <c r="C64">
        <v>11</v>
      </c>
      <c r="D64">
        <v>2</v>
      </c>
      <c r="E64">
        <v>1</v>
      </c>
      <c r="F64">
        <v>0</v>
      </c>
      <c r="G64">
        <v>0</v>
      </c>
      <c r="H64">
        <v>2</v>
      </c>
      <c r="I64">
        <v>3</v>
      </c>
      <c r="J64">
        <v>0</v>
      </c>
      <c r="K64">
        <v>0</v>
      </c>
      <c r="L64">
        <v>0</v>
      </c>
      <c r="M64" t="e">
        <f>13+B2*B64 + C2*C64 + D2*D64 + E2*E64 + F2*F64 + G2*G64 + H2*H64 + I2*I64 + J2*J64 + K2*K64 + L2*L64</f>
        <v>#REF!</v>
      </c>
      <c r="N64" t="e">
        <f>P2+E2</f>
        <v>#REF!</v>
      </c>
      <c r="O64">
        <v>0</v>
      </c>
      <c r="P64">
        <v>0</v>
      </c>
      <c r="Q64">
        <v>0</v>
      </c>
      <c r="R64">
        <v>0</v>
      </c>
      <c r="S64">
        <v>0</v>
      </c>
    </row>
    <row r="65" spans="1:19" x14ac:dyDescent="0.25">
      <c r="A65" t="s">
        <v>138</v>
      </c>
      <c r="B65">
        <v>0</v>
      </c>
      <c r="C65">
        <v>17</v>
      </c>
      <c r="D65">
        <v>2</v>
      </c>
      <c r="E65">
        <v>1</v>
      </c>
      <c r="F65">
        <v>0</v>
      </c>
      <c r="G65">
        <v>0</v>
      </c>
      <c r="H65">
        <v>3</v>
      </c>
      <c r="I65">
        <v>2</v>
      </c>
      <c r="J65">
        <v>0</v>
      </c>
      <c r="K65">
        <v>0</v>
      </c>
      <c r="L65">
        <v>0</v>
      </c>
      <c r="M65" t="e">
        <f>13+B2*B65 + C2*C65 + D2*D65 + E2*E65 + F2*F65 + G2*G65 + H2*H65 + I2*I65 + J2*J65 + K2*K65 + L2*L65</f>
        <v>#REF!</v>
      </c>
      <c r="N65" t="e">
        <f>P2+E2</f>
        <v>#REF!</v>
      </c>
      <c r="O65" t="e">
        <f>P2+C2</f>
        <v>#REF!</v>
      </c>
      <c r="P65" t="e">
        <f>P2+I2</f>
        <v>#REF!</v>
      </c>
      <c r="Q65">
        <v>0</v>
      </c>
      <c r="R65">
        <v>0</v>
      </c>
      <c r="S65">
        <v>0</v>
      </c>
    </row>
    <row r="66" spans="1:19" x14ac:dyDescent="0.25">
      <c r="A66" t="s">
        <v>139</v>
      </c>
      <c r="B66">
        <v>0</v>
      </c>
      <c r="C66">
        <v>22</v>
      </c>
      <c r="D66">
        <v>2</v>
      </c>
      <c r="E66">
        <v>1</v>
      </c>
      <c r="F66">
        <v>0</v>
      </c>
      <c r="G66">
        <v>0</v>
      </c>
      <c r="H66">
        <v>4</v>
      </c>
      <c r="I66">
        <v>4</v>
      </c>
      <c r="J66">
        <v>0</v>
      </c>
      <c r="K66">
        <v>0</v>
      </c>
      <c r="L66">
        <v>1</v>
      </c>
      <c r="M66" t="e">
        <f>13+B2*B66 + C2*C66 + D2*D66 + E2*E66 + F2*F66 + G2*G66 + H2*H66 + I2*I66 + J2*J66 + K2*K66 + L2*L66</f>
        <v>#REF!</v>
      </c>
      <c r="N66" t="e">
        <f>P2+E2</f>
        <v>#REF!</v>
      </c>
      <c r="O66" t="e">
        <f>P2+I2</f>
        <v>#REF!</v>
      </c>
      <c r="P66" t="e">
        <f>P2+I2</f>
        <v>#REF!</v>
      </c>
      <c r="Q66">
        <v>0</v>
      </c>
      <c r="R66">
        <v>0</v>
      </c>
      <c r="S66">
        <v>0</v>
      </c>
    </row>
    <row r="67" spans="1:19" x14ac:dyDescent="0.25">
      <c r="A67" t="s">
        <v>140</v>
      </c>
      <c r="B67">
        <v>0</v>
      </c>
      <c r="C67">
        <v>20</v>
      </c>
      <c r="D67">
        <v>2</v>
      </c>
      <c r="E67">
        <v>1</v>
      </c>
      <c r="F67">
        <v>0</v>
      </c>
      <c r="G67">
        <v>0</v>
      </c>
      <c r="H67">
        <v>3</v>
      </c>
      <c r="I67">
        <v>2</v>
      </c>
      <c r="J67">
        <v>0</v>
      </c>
      <c r="K67">
        <v>0</v>
      </c>
      <c r="L67">
        <v>0</v>
      </c>
      <c r="M67" t="e">
        <f>13+B2*B67 + C2*C67 + D2*D67 + E2*E67 + F2*F67 + G2*G67 + H2*H67 + I2*I67 + J2*J67 + K2*K67 + L2*L67</f>
        <v>#REF!</v>
      </c>
      <c r="N67" t="e">
        <f>P2+E2</f>
        <v>#REF!</v>
      </c>
      <c r="O67" t="e">
        <f>P2+I2</f>
        <v>#REF!</v>
      </c>
      <c r="P67">
        <v>0</v>
      </c>
      <c r="Q67">
        <v>0</v>
      </c>
      <c r="R67">
        <v>0</v>
      </c>
      <c r="S67">
        <v>0</v>
      </c>
    </row>
    <row r="68" spans="1:19" x14ac:dyDescent="0.25">
      <c r="A68" t="s">
        <v>141</v>
      </c>
      <c r="B68">
        <v>5</v>
      </c>
      <c r="C68">
        <v>26</v>
      </c>
      <c r="D68">
        <v>2</v>
      </c>
      <c r="E68">
        <v>1</v>
      </c>
      <c r="F68">
        <v>0</v>
      </c>
      <c r="G68">
        <v>0</v>
      </c>
      <c r="H68">
        <v>1</v>
      </c>
      <c r="I68">
        <v>1</v>
      </c>
      <c r="J68">
        <v>0</v>
      </c>
      <c r="K68">
        <v>0</v>
      </c>
      <c r="L68">
        <v>0</v>
      </c>
      <c r="M68" t="e">
        <f>13+B2*B68 + C2*C68 + D2*D68 + E2*E68 + F2*F68 + G2*G68 + H2*H68 + I2*I68 + J2*J68 + K2*K68 + L2*L68</f>
        <v>#REF!</v>
      </c>
      <c r="N68" t="e">
        <f>P2+E2</f>
        <v>#REF!</v>
      </c>
      <c r="O68" t="e">
        <f>P2+I2</f>
        <v>#REF!</v>
      </c>
      <c r="P68">
        <v>0</v>
      </c>
      <c r="Q68">
        <v>0</v>
      </c>
      <c r="R68">
        <v>0</v>
      </c>
      <c r="S68">
        <v>0</v>
      </c>
    </row>
    <row r="69" spans="1:19" x14ac:dyDescent="0.25">
      <c r="A69" t="s">
        <v>142</v>
      </c>
      <c r="B69">
        <v>0</v>
      </c>
      <c r="C69">
        <v>16</v>
      </c>
      <c r="D69">
        <v>2</v>
      </c>
      <c r="E69">
        <v>1</v>
      </c>
      <c r="F69">
        <v>0</v>
      </c>
      <c r="G69">
        <v>0</v>
      </c>
      <c r="H69">
        <v>3</v>
      </c>
      <c r="I69">
        <v>9</v>
      </c>
      <c r="J69">
        <v>0</v>
      </c>
      <c r="K69">
        <v>0</v>
      </c>
      <c r="L69">
        <v>3</v>
      </c>
      <c r="M69" t="e">
        <f>13+B2*B69 + C2*C69 + D2*D69 + E2*E69 + F2*F69 + G2*G69 + H2*H69 + I2*I69 + J2*J69 + K2*K69 + L2*L69</f>
        <v>#REF!</v>
      </c>
      <c r="N69" t="e">
        <f>P2+E2</f>
        <v>#REF!</v>
      </c>
      <c r="O69">
        <v>0</v>
      </c>
      <c r="P69">
        <v>0</v>
      </c>
      <c r="Q69">
        <v>0</v>
      </c>
      <c r="R69">
        <v>0</v>
      </c>
      <c r="S69">
        <v>0</v>
      </c>
    </row>
    <row r="70" spans="1:19" x14ac:dyDescent="0.25">
      <c r="A70" t="s">
        <v>143</v>
      </c>
      <c r="B70">
        <v>0</v>
      </c>
      <c r="C70">
        <v>16</v>
      </c>
      <c r="D70">
        <v>2</v>
      </c>
      <c r="E70">
        <v>0</v>
      </c>
      <c r="F70">
        <v>1</v>
      </c>
      <c r="G70">
        <v>0</v>
      </c>
      <c r="H70">
        <v>2</v>
      </c>
      <c r="I70">
        <v>2</v>
      </c>
      <c r="J70">
        <v>1</v>
      </c>
      <c r="K70">
        <v>0</v>
      </c>
      <c r="L70">
        <v>2</v>
      </c>
      <c r="M70" t="e">
        <f>13+B2*B70 + C2*C70 + D2*D70 + E2*E70 + F2*F70 + G2*G70 + H2*H70 + I2*I70 + J2*J70 + K2*K70 + L2*L70</f>
        <v>#REF!</v>
      </c>
      <c r="N70" t="e">
        <f>P2+F2</f>
        <v>#REF!</v>
      </c>
      <c r="O70">
        <v>0</v>
      </c>
      <c r="P70">
        <v>0</v>
      </c>
      <c r="Q70">
        <v>0</v>
      </c>
      <c r="R70">
        <v>0</v>
      </c>
      <c r="S70">
        <v>0</v>
      </c>
    </row>
    <row r="71" spans="1:19" x14ac:dyDescent="0.25">
      <c r="A71" t="s">
        <v>145</v>
      </c>
      <c r="B71">
        <v>0</v>
      </c>
      <c r="C71">
        <v>16</v>
      </c>
      <c r="D71">
        <v>2</v>
      </c>
      <c r="E71">
        <v>0</v>
      </c>
      <c r="F71">
        <v>1</v>
      </c>
      <c r="G71">
        <v>0</v>
      </c>
      <c r="H71">
        <v>2</v>
      </c>
      <c r="I71">
        <v>2</v>
      </c>
      <c r="J71">
        <v>1</v>
      </c>
      <c r="K71">
        <v>0</v>
      </c>
      <c r="L71">
        <v>2</v>
      </c>
      <c r="M71" t="e">
        <f>13+B2*B71 + C2*C71 + D2*D71 + E2*E71 + F2*F71 + G2*G71 + H2*H71 + I2*I71 + J2*J71 + K2*K71 + L2*L71</f>
        <v>#REF!</v>
      </c>
      <c r="N71" t="e">
        <f>P2+F2</f>
        <v>#REF!</v>
      </c>
      <c r="O71">
        <v>0</v>
      </c>
      <c r="P71">
        <v>0</v>
      </c>
      <c r="Q71">
        <v>0</v>
      </c>
      <c r="R71">
        <v>0</v>
      </c>
      <c r="S71">
        <v>0</v>
      </c>
    </row>
    <row r="72" spans="1:19" x14ac:dyDescent="0.25">
      <c r="A72" t="s">
        <v>146</v>
      </c>
      <c r="B72">
        <v>0</v>
      </c>
      <c r="C72">
        <v>26</v>
      </c>
      <c r="D72">
        <v>2</v>
      </c>
      <c r="E72">
        <v>1</v>
      </c>
      <c r="F72">
        <v>0</v>
      </c>
      <c r="G72">
        <v>0</v>
      </c>
      <c r="H72">
        <v>3</v>
      </c>
      <c r="I72">
        <v>6</v>
      </c>
      <c r="J72">
        <v>0</v>
      </c>
      <c r="K72">
        <v>0</v>
      </c>
      <c r="L72">
        <v>4</v>
      </c>
      <c r="M72" t="e">
        <f>13+B2*B72 + C2*C72 + D2*D72 + E2*E72 + F2*F72 + G2*G72 + H2*H72 + I2*I72 + J2*J72 + K2*K72 + L2*L72</f>
        <v>#REF!</v>
      </c>
      <c r="N72" t="e">
        <f>P2+F2</f>
        <v>#REF!</v>
      </c>
      <c r="O72" t="e">
        <f>P2+E2</f>
        <v>#REF!</v>
      </c>
      <c r="P72" t="e">
        <f>P2+I2</f>
        <v>#REF!</v>
      </c>
      <c r="Q72">
        <v>0</v>
      </c>
      <c r="R72">
        <v>0</v>
      </c>
      <c r="S72">
        <v>0</v>
      </c>
    </row>
    <row r="73" spans="1:19" x14ac:dyDescent="0.25">
      <c r="A73" t="s">
        <v>147</v>
      </c>
      <c r="B73">
        <v>0</v>
      </c>
      <c r="C73">
        <v>8</v>
      </c>
      <c r="D73">
        <v>2</v>
      </c>
      <c r="E73">
        <v>1</v>
      </c>
      <c r="F73">
        <v>0</v>
      </c>
      <c r="G73">
        <v>0</v>
      </c>
      <c r="H73">
        <v>2</v>
      </c>
      <c r="I73">
        <v>1</v>
      </c>
      <c r="J73">
        <v>2</v>
      </c>
      <c r="K73">
        <v>0</v>
      </c>
      <c r="L73">
        <v>0</v>
      </c>
      <c r="M73" t="e">
        <f>13+B2*B73 + C2*C73 + D2*D73 + E2*E73 + F2*F73 + G2*G73 + H2*H73 + I2*I73 + J2*J73 + K2*K73 + L2*L73</f>
        <v>#REF!</v>
      </c>
      <c r="N73" t="e">
        <f>P2+F2</f>
        <v>#REF!</v>
      </c>
      <c r="O73" t="e">
        <f>P2+E2</f>
        <v>#REF!</v>
      </c>
      <c r="P73" t="e">
        <f>P2+I2</f>
        <v>#REF!</v>
      </c>
      <c r="Q73" t="e">
        <f>P2+E2</f>
        <v>#REF!</v>
      </c>
      <c r="R73">
        <v>0</v>
      </c>
      <c r="S73">
        <v>0</v>
      </c>
    </row>
    <row r="74" spans="1:19" x14ac:dyDescent="0.25">
      <c r="A74" t="s">
        <v>148</v>
      </c>
      <c r="B74">
        <v>0</v>
      </c>
      <c r="C74">
        <v>26</v>
      </c>
      <c r="D74">
        <v>2</v>
      </c>
      <c r="E74">
        <v>1</v>
      </c>
      <c r="F74">
        <v>0</v>
      </c>
      <c r="G74">
        <v>0</v>
      </c>
      <c r="H74">
        <v>4</v>
      </c>
      <c r="I74">
        <v>0</v>
      </c>
      <c r="J74">
        <v>1</v>
      </c>
      <c r="K74">
        <v>0</v>
      </c>
      <c r="L74">
        <v>0</v>
      </c>
      <c r="M74" t="e">
        <f>13+B2*B74 + C2*C74 + D2*D74 + E2*E74 + F2*F74 + G2*G74 + H2*H74 + I2*I74 + J2*J74 + K2*K74 + L2*L74</f>
        <v>#REF!</v>
      </c>
      <c r="N74" t="e">
        <f>P2+E2</f>
        <v>#REF!</v>
      </c>
      <c r="O74" t="e">
        <f>P2+J2</f>
        <v>#REF!</v>
      </c>
      <c r="P74">
        <v>0</v>
      </c>
      <c r="Q74">
        <v>0</v>
      </c>
      <c r="R74">
        <v>0</v>
      </c>
      <c r="S74">
        <v>0</v>
      </c>
    </row>
    <row r="75" spans="1:19" x14ac:dyDescent="0.25">
      <c r="A75" t="s">
        <v>149</v>
      </c>
      <c r="B75">
        <v>0</v>
      </c>
      <c r="C75">
        <v>16</v>
      </c>
      <c r="D75">
        <v>2</v>
      </c>
      <c r="E75">
        <v>1</v>
      </c>
      <c r="F75">
        <v>0</v>
      </c>
      <c r="G75">
        <v>0</v>
      </c>
      <c r="H75">
        <v>3</v>
      </c>
      <c r="I75">
        <v>0</v>
      </c>
      <c r="J75">
        <v>1</v>
      </c>
      <c r="K75">
        <v>0</v>
      </c>
      <c r="L75">
        <v>0</v>
      </c>
      <c r="M75" t="e">
        <f>13+B2*B75 + C2*C75 + D2*D75 + E2*E75 + F2*F75 + G2*G75 + H2*H75 + I2*I75 + J2*J75 + K2*K75 + L2*L75</f>
        <v>#REF!</v>
      </c>
      <c r="N75" t="e">
        <f>P2+E2</f>
        <v>#REF!</v>
      </c>
      <c r="O75">
        <v>0</v>
      </c>
      <c r="P75">
        <v>0</v>
      </c>
      <c r="Q75">
        <v>0</v>
      </c>
      <c r="R75">
        <v>0</v>
      </c>
      <c r="S75">
        <v>0</v>
      </c>
    </row>
    <row r="76" spans="1:19" x14ac:dyDescent="0.25">
      <c r="A76" t="s">
        <v>150</v>
      </c>
      <c r="B76">
        <v>0</v>
      </c>
      <c r="C76">
        <v>33</v>
      </c>
      <c r="D76">
        <v>2</v>
      </c>
      <c r="E76">
        <v>1</v>
      </c>
      <c r="F76">
        <v>0</v>
      </c>
      <c r="G76">
        <v>0</v>
      </c>
      <c r="H76">
        <v>5</v>
      </c>
      <c r="I76">
        <v>0</v>
      </c>
      <c r="J76">
        <v>1</v>
      </c>
      <c r="K76">
        <v>0</v>
      </c>
      <c r="L76">
        <v>0</v>
      </c>
      <c r="M76" t="e">
        <f>13+B2*B76 + C2*C76 + D2*D76 + E2*E76 + F2*F76 + G2*G76 + H2*H76 + I2*I76 + J2*J76 + K2*K76 + L2*L76</f>
        <v>#REF!</v>
      </c>
      <c r="N76" t="e">
        <f>P2+E2</f>
        <v>#REF!</v>
      </c>
      <c r="O76">
        <v>0</v>
      </c>
      <c r="P76">
        <v>0</v>
      </c>
      <c r="Q76">
        <v>0</v>
      </c>
      <c r="R76">
        <v>0</v>
      </c>
      <c r="S76">
        <v>0</v>
      </c>
    </row>
    <row r="77" spans="1:19" x14ac:dyDescent="0.25">
      <c r="A77" t="s">
        <v>151</v>
      </c>
      <c r="B77">
        <v>0</v>
      </c>
      <c r="C77">
        <v>23</v>
      </c>
      <c r="D77">
        <v>2</v>
      </c>
      <c r="E77">
        <v>1</v>
      </c>
      <c r="F77">
        <v>0</v>
      </c>
      <c r="G77">
        <v>0</v>
      </c>
      <c r="H77">
        <v>4</v>
      </c>
      <c r="I77">
        <v>0</v>
      </c>
      <c r="J77">
        <v>4</v>
      </c>
      <c r="K77">
        <v>0</v>
      </c>
      <c r="L77">
        <v>0</v>
      </c>
      <c r="M77" t="e">
        <f>13+B2*B77 + C2*C77 + D2*D77 + E2*E77 + F2*F77 + G2*G77 + H2*H77 + I2*I77 + J2*J77 + K2*K77 + L2*L77</f>
        <v>#REF!</v>
      </c>
      <c r="N77" t="e">
        <f>P2+E2</f>
        <v>#REF!</v>
      </c>
      <c r="O77" t="e">
        <f>P2+J2</f>
        <v>#REF!</v>
      </c>
      <c r="P77">
        <v>0</v>
      </c>
      <c r="Q77">
        <v>0</v>
      </c>
      <c r="R77">
        <v>0</v>
      </c>
      <c r="S77">
        <v>0</v>
      </c>
    </row>
    <row r="78" spans="1:19" x14ac:dyDescent="0.25">
      <c r="A78" t="s">
        <v>153</v>
      </c>
      <c r="B78">
        <v>0</v>
      </c>
      <c r="C78">
        <v>26</v>
      </c>
      <c r="D78">
        <v>2</v>
      </c>
      <c r="E78">
        <v>1</v>
      </c>
      <c r="F78">
        <v>0</v>
      </c>
      <c r="G78">
        <v>0</v>
      </c>
      <c r="H78">
        <v>3</v>
      </c>
      <c r="I78">
        <v>0</v>
      </c>
      <c r="J78">
        <v>2</v>
      </c>
      <c r="K78">
        <v>0</v>
      </c>
      <c r="L78">
        <v>0</v>
      </c>
      <c r="M78" t="e">
        <f>13+B2*B78 + C2*C78 + D2*D78 + E2*E78 + F2*F78 + G2*G78 + H2*H78 + I2*I78 + J2*J78 + K2*K78 + L2*L78</f>
        <v>#REF!</v>
      </c>
      <c r="N78" t="e">
        <f>P2+E2</f>
        <v>#REF!</v>
      </c>
      <c r="O78">
        <v>0</v>
      </c>
      <c r="P78">
        <v>0</v>
      </c>
      <c r="Q78">
        <v>0</v>
      </c>
      <c r="R78">
        <v>0</v>
      </c>
      <c r="S78">
        <v>0</v>
      </c>
    </row>
    <row r="79" spans="1:19" x14ac:dyDescent="0.25">
      <c r="A79" t="s">
        <v>155</v>
      </c>
      <c r="B79">
        <v>0</v>
      </c>
      <c r="C79">
        <v>15</v>
      </c>
      <c r="D79">
        <v>2</v>
      </c>
      <c r="E79">
        <v>1</v>
      </c>
      <c r="F79">
        <v>0</v>
      </c>
      <c r="G79">
        <v>0</v>
      </c>
      <c r="H79">
        <v>4</v>
      </c>
      <c r="I79">
        <v>0</v>
      </c>
      <c r="J79">
        <v>1</v>
      </c>
      <c r="K79">
        <v>0</v>
      </c>
      <c r="L79">
        <v>1</v>
      </c>
      <c r="M79" t="e">
        <f>13+B2*B79 + C2*C79 + D2*D79 + E2*E79 + F2*F79 + G2*G79 + H2*H79 + I2*I79 + J2*J79 + K2*K79 + L2*L79</f>
        <v>#REF!</v>
      </c>
      <c r="N79" t="e">
        <f>P2+E2</f>
        <v>#REF!</v>
      </c>
      <c r="O79" t="e">
        <f>P2+J2</f>
        <v>#REF!</v>
      </c>
      <c r="P79" t="e">
        <f>P2+J2+C2+C2</f>
        <v>#REF!</v>
      </c>
      <c r="Q79">
        <v>0</v>
      </c>
      <c r="R79">
        <v>0</v>
      </c>
      <c r="S79">
        <v>0</v>
      </c>
    </row>
    <row r="80" spans="1:19" x14ac:dyDescent="0.25">
      <c r="A80" t="s">
        <v>156</v>
      </c>
      <c r="B80">
        <v>0</v>
      </c>
      <c r="C80">
        <v>14</v>
      </c>
      <c r="D80">
        <v>2</v>
      </c>
      <c r="E80">
        <v>1</v>
      </c>
      <c r="F80">
        <v>0</v>
      </c>
      <c r="G80">
        <v>0</v>
      </c>
      <c r="H80">
        <v>3</v>
      </c>
      <c r="I80">
        <v>1</v>
      </c>
      <c r="J80">
        <v>1</v>
      </c>
      <c r="K80">
        <v>0</v>
      </c>
      <c r="L80">
        <v>2</v>
      </c>
      <c r="M80" t="e">
        <f>13+B2*B80 + C2*C80 + D2*D80 + E2*E80 + F2*F80 + G2*G80 + H2*H80 + I2*I80 + J2*J80 + K2*K80 + L2*L80</f>
        <v>#REF!</v>
      </c>
      <c r="N80" t="e">
        <f>P2+E2</f>
        <v>#REF!</v>
      </c>
      <c r="O80">
        <v>0</v>
      </c>
      <c r="P80">
        <v>0</v>
      </c>
      <c r="Q80">
        <v>0</v>
      </c>
      <c r="R80">
        <v>0</v>
      </c>
      <c r="S80">
        <v>0</v>
      </c>
    </row>
    <row r="81" spans="1:19" x14ac:dyDescent="0.25">
      <c r="A81" t="s">
        <v>157</v>
      </c>
      <c r="B81">
        <v>0</v>
      </c>
      <c r="C81">
        <v>15</v>
      </c>
      <c r="D81">
        <v>2</v>
      </c>
      <c r="E81">
        <v>1</v>
      </c>
      <c r="F81">
        <v>0</v>
      </c>
      <c r="G81">
        <v>0</v>
      </c>
      <c r="H81">
        <v>2</v>
      </c>
      <c r="I81">
        <v>0</v>
      </c>
      <c r="J81">
        <v>5</v>
      </c>
      <c r="K81">
        <v>0</v>
      </c>
      <c r="L81">
        <v>0</v>
      </c>
      <c r="M81" t="e">
        <f>13+B2*B81 + C2*C81 + D2*D81 + E2*E81 + F2*F81 + G2*G81 + H2*H81 + I2*I81 + J2*J81 + K2*K81 + L2*L81</f>
        <v>#REF!</v>
      </c>
      <c r="N81" t="e">
        <f>P2+E2</f>
        <v>#REF!</v>
      </c>
      <c r="O81">
        <v>0</v>
      </c>
      <c r="P81">
        <v>0</v>
      </c>
      <c r="Q81">
        <v>0</v>
      </c>
      <c r="R81">
        <v>0</v>
      </c>
      <c r="S81">
        <v>0</v>
      </c>
    </row>
    <row r="82" spans="1:19" x14ac:dyDescent="0.25">
      <c r="A82" t="s">
        <v>158</v>
      </c>
      <c r="B82">
        <v>0</v>
      </c>
      <c r="C82">
        <v>33</v>
      </c>
      <c r="D82">
        <v>2</v>
      </c>
      <c r="E82">
        <v>1</v>
      </c>
      <c r="F82">
        <v>0</v>
      </c>
      <c r="G82">
        <v>0</v>
      </c>
      <c r="H82">
        <v>4</v>
      </c>
      <c r="I82">
        <v>0</v>
      </c>
      <c r="J82">
        <v>3</v>
      </c>
      <c r="K82">
        <v>0</v>
      </c>
      <c r="L82">
        <v>2</v>
      </c>
      <c r="M82" t="e">
        <f>13+B2*B82 + C2*C82 + D2*D82 + E2*E82 + F2*F82 + G2*G82 + H2*H82 + I2*I82 + J2*J82 + K2*K82 + L2*L82</f>
        <v>#REF!</v>
      </c>
      <c r="N82" t="e">
        <f>P2+E2</f>
        <v>#REF!</v>
      </c>
      <c r="O82" t="e">
        <f>P2+J2</f>
        <v>#REF!</v>
      </c>
      <c r="P82" t="e">
        <f>P2+J2+C2</f>
        <v>#REF!</v>
      </c>
      <c r="Q82">
        <v>0</v>
      </c>
      <c r="R82">
        <v>0</v>
      </c>
      <c r="S82">
        <v>0</v>
      </c>
    </row>
    <row r="83" spans="1:19" x14ac:dyDescent="0.25">
      <c r="A83" t="s">
        <v>160</v>
      </c>
      <c r="B83">
        <v>0</v>
      </c>
      <c r="C83">
        <v>15</v>
      </c>
      <c r="D83">
        <v>2</v>
      </c>
      <c r="E83">
        <v>1</v>
      </c>
      <c r="F83">
        <v>0</v>
      </c>
      <c r="G83">
        <v>0</v>
      </c>
      <c r="H83">
        <v>4</v>
      </c>
      <c r="I83">
        <v>0</v>
      </c>
      <c r="J83">
        <v>1</v>
      </c>
      <c r="K83">
        <v>0</v>
      </c>
      <c r="L83">
        <v>1</v>
      </c>
      <c r="M83" t="e">
        <f>13+B2*B83 + C2*C83 + D2*D83 + E2*E83 + F2*F83 + G2*G83 + H2*H83 + I2*I83 + J2*J83 + K2*K83 + L2*L83</f>
        <v>#REF!</v>
      </c>
      <c r="N83" t="e">
        <f>P2+E2</f>
        <v>#REF!</v>
      </c>
      <c r="O83" t="e">
        <f>P2+J2</f>
        <v>#REF!</v>
      </c>
      <c r="P83" t="e">
        <f>P2+J2+C2+C2</f>
        <v>#REF!</v>
      </c>
      <c r="Q83">
        <v>0</v>
      </c>
      <c r="R83">
        <v>0</v>
      </c>
      <c r="S83">
        <v>0</v>
      </c>
    </row>
    <row r="84" spans="1:19" x14ac:dyDescent="0.25">
      <c r="A84" t="s">
        <v>162</v>
      </c>
      <c r="B84">
        <v>0</v>
      </c>
      <c r="C84">
        <v>14</v>
      </c>
      <c r="D84">
        <v>2</v>
      </c>
      <c r="E84">
        <v>1</v>
      </c>
      <c r="F84">
        <v>0</v>
      </c>
      <c r="G84">
        <v>0</v>
      </c>
      <c r="H84">
        <v>3</v>
      </c>
      <c r="I84">
        <v>1</v>
      </c>
      <c r="J84">
        <v>1</v>
      </c>
      <c r="K84">
        <v>0</v>
      </c>
      <c r="L84">
        <v>2</v>
      </c>
      <c r="M84" t="e">
        <f>13+B2*B84 + C2*C84 + D2*D84 + E2*E84 + F2*F84 + G2*G84 + H2*H84 + I2*I84 + J2*J84 + K2*K84 + L2*L84</f>
        <v>#REF!</v>
      </c>
      <c r="N84" t="e">
        <f>P2+E2</f>
        <v>#REF!</v>
      </c>
      <c r="O84">
        <v>0</v>
      </c>
      <c r="P84">
        <v>0</v>
      </c>
      <c r="Q84">
        <v>0</v>
      </c>
      <c r="R84">
        <v>0</v>
      </c>
      <c r="S84">
        <v>0</v>
      </c>
    </row>
  </sheetData>
  <phoneticPr fontId="4" type="noConversion"/>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B7" sqref="B7:F7"/>
    </sheetView>
  </sheetViews>
  <sheetFormatPr defaultRowHeight="13.2" x14ac:dyDescent="0.25"/>
  <sheetData>
    <row r="1" spans="1:6" ht="15.6" x14ac:dyDescent="0.3">
      <c r="A1" s="148" t="s">
        <v>665</v>
      </c>
    </row>
    <row r="3" spans="1:6" x14ac:dyDescent="0.25">
      <c r="A3" s="309" t="s">
        <v>652</v>
      </c>
    </row>
    <row r="4" spans="1:6" x14ac:dyDescent="0.25">
      <c r="B4" s="323" t="s">
        <v>666</v>
      </c>
      <c r="C4" s="323"/>
      <c r="D4" s="323"/>
      <c r="E4" s="323"/>
    </row>
    <row r="6" spans="1:6" x14ac:dyDescent="0.25">
      <c r="A6" s="309" t="s">
        <v>668</v>
      </c>
    </row>
    <row r="7" spans="1:6" x14ac:dyDescent="0.25">
      <c r="A7" s="98"/>
      <c r="B7" s="323" t="s">
        <v>667</v>
      </c>
      <c r="C7" s="323"/>
      <c r="D7" s="323"/>
      <c r="E7" s="323"/>
      <c r="F7" s="323"/>
    </row>
  </sheetData>
  <mergeCells count="2">
    <mergeCell ref="B4:E4"/>
    <mergeCell ref="B7:F7"/>
  </mergeCells>
  <hyperlinks>
    <hyperlink ref="B7" r:id="rId1" display="https://docs.genesys.com/Documentation/GIM"/>
    <hyperlink ref="B4" r:id="rId2" display="GIM 8.1 Database Size Estimator"/>
    <hyperlink ref="B4:E4" r:id="rId3" display="UCS 9.1 Database Size Estimator"/>
    <hyperlink ref="B7:F7" r:id="rId4" display="https://docs.genesys.com/Documentation/UC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B57"/>
  <sheetViews>
    <sheetView workbookViewId="0"/>
  </sheetViews>
  <sheetFormatPr defaultColWidth="27.33203125" defaultRowHeight="13.2" x14ac:dyDescent="0.25"/>
  <cols>
    <col min="1" max="1" width="46.5546875" customWidth="1"/>
    <col min="2" max="2" width="21.44140625" style="57" customWidth="1"/>
  </cols>
  <sheetData>
    <row r="1" spans="1:2" x14ac:dyDescent="0.25">
      <c r="A1" s="50" t="s">
        <v>511</v>
      </c>
      <c r="B1" s="224" t="s">
        <v>108</v>
      </c>
    </row>
    <row r="2" spans="1:2" ht="92.4" x14ac:dyDescent="0.25">
      <c r="A2" s="7" t="s">
        <v>560</v>
      </c>
      <c r="B2" s="225"/>
    </row>
    <row r="3" spans="1:2" x14ac:dyDescent="0.25">
      <c r="A3" s="226" t="s">
        <v>512</v>
      </c>
      <c r="B3" s="227" t="s">
        <v>0</v>
      </c>
    </row>
    <row r="4" spans="1:2" x14ac:dyDescent="0.25">
      <c r="A4" s="5" t="s">
        <v>513</v>
      </c>
      <c r="B4" s="228">
        <v>500000</v>
      </c>
    </row>
    <row r="5" spans="1:2" x14ac:dyDescent="0.25">
      <c r="A5" s="5" t="s">
        <v>514</v>
      </c>
      <c r="B5" s="2">
        <v>4</v>
      </c>
    </row>
    <row r="6" spans="1:2" x14ac:dyDescent="0.25">
      <c r="A6" s="5" t="s">
        <v>515</v>
      </c>
      <c r="B6" s="2">
        <v>5</v>
      </c>
    </row>
    <row r="7" spans="1:2" x14ac:dyDescent="0.25">
      <c r="A7" s="5" t="s">
        <v>516</v>
      </c>
      <c r="B7" s="2">
        <v>5</v>
      </c>
    </row>
    <row r="8" spans="1:2" x14ac:dyDescent="0.25">
      <c r="A8" s="5" t="s">
        <v>517</v>
      </c>
      <c r="B8" s="2">
        <v>15</v>
      </c>
    </row>
    <row r="9" spans="1:2" x14ac:dyDescent="0.25">
      <c r="A9" s="229" t="s">
        <v>518</v>
      </c>
      <c r="B9" s="230">
        <v>10</v>
      </c>
    </row>
    <row r="10" spans="1:2" x14ac:dyDescent="0.25">
      <c r="A10" s="5" t="s">
        <v>519</v>
      </c>
      <c r="B10" s="2">
        <v>4</v>
      </c>
    </row>
    <row r="11" spans="1:2" x14ac:dyDescent="0.25">
      <c r="A11" s="5" t="s">
        <v>520</v>
      </c>
      <c r="B11" s="2">
        <v>0</v>
      </c>
    </row>
    <row r="12" spans="1:2" x14ac:dyDescent="0.25">
      <c r="A12" s="5" t="s">
        <v>521</v>
      </c>
      <c r="B12" s="2">
        <v>4</v>
      </c>
    </row>
    <row r="13" spans="1:2" x14ac:dyDescent="0.25">
      <c r="A13" s="229" t="s">
        <v>522</v>
      </c>
      <c r="B13" s="230">
        <v>16</v>
      </c>
    </row>
    <row r="14" spans="1:2" x14ac:dyDescent="0.25">
      <c r="A14" s="231" t="s">
        <v>277</v>
      </c>
      <c r="B14" s="227"/>
    </row>
    <row r="15" spans="1:2" x14ac:dyDescent="0.25">
      <c r="A15" s="232" t="s">
        <v>523</v>
      </c>
      <c r="B15" s="233">
        <f>NbProfile*((160+NbCoreAttribute*400))/ (1024*1024)</f>
        <v>839.2333984375</v>
      </c>
    </row>
    <row r="16" spans="1:2" x14ac:dyDescent="0.25">
      <c r="A16" s="232" t="s">
        <v>524</v>
      </c>
      <c r="B16" s="234">
        <f>NbProfile*((2*2*NbProfileExtensions*32)+(NbFixedAttrExtension*8)+(AvgStrLengthProfExt*2*2*NbStrAttrExtension)) / (1024*1024)</f>
        <v>610.3515625</v>
      </c>
    </row>
    <row r="17" spans="1:2" x14ac:dyDescent="0.25">
      <c r="A17" s="232" t="s">
        <v>525</v>
      </c>
      <c r="B17" s="234">
        <f>NbProfile*NbIdKeys*((32+(NbFixedAttrsIdKeys*8+AvgLengthStringAttrsIdKeys*NbStringAttrsIdKeys)*2*2))/ (1024*1024)</f>
        <v>549.31640625</v>
      </c>
    </row>
    <row r="18" spans="1:2" ht="15.6" x14ac:dyDescent="0.3">
      <c r="A18" s="235" t="s">
        <v>526</v>
      </c>
      <c r="B18" s="236">
        <f>SUM(B15:B17)</f>
        <v>1998.9013671875</v>
      </c>
    </row>
    <row r="19" spans="1:2" x14ac:dyDescent="0.25">
      <c r="A19" s="237"/>
      <c r="B19" s="238"/>
    </row>
    <row r="20" spans="1:2" x14ac:dyDescent="0.25">
      <c r="A20" s="226" t="s">
        <v>527</v>
      </c>
      <c r="B20" s="227" t="s">
        <v>0</v>
      </c>
    </row>
    <row r="21" spans="1:2" x14ac:dyDescent="0.25">
      <c r="A21" s="239" t="s">
        <v>528</v>
      </c>
      <c r="B21" s="234">
        <v>100000</v>
      </c>
    </row>
    <row r="22" spans="1:2" x14ac:dyDescent="0.25">
      <c r="A22" s="239" t="s">
        <v>529</v>
      </c>
      <c r="B22" s="234">
        <v>180</v>
      </c>
    </row>
    <row r="23" spans="1:2" x14ac:dyDescent="0.25">
      <c r="A23" s="239" t="s">
        <v>530</v>
      </c>
      <c r="B23" s="234">
        <v>3</v>
      </c>
    </row>
    <row r="24" spans="1:2" x14ac:dyDescent="0.25">
      <c r="A24" s="239" t="s">
        <v>531</v>
      </c>
      <c r="B24" s="234">
        <v>6</v>
      </c>
    </row>
    <row r="25" spans="1:2" x14ac:dyDescent="0.25">
      <c r="A25" s="240" t="s">
        <v>532</v>
      </c>
      <c r="B25" s="241">
        <v>2</v>
      </c>
    </row>
    <row r="26" spans="1:2" x14ac:dyDescent="0.25">
      <c r="A26" s="5" t="s">
        <v>533</v>
      </c>
      <c r="B26" s="2">
        <v>10</v>
      </c>
    </row>
    <row r="27" spans="1:2" x14ac:dyDescent="0.25">
      <c r="A27" s="5" t="s">
        <v>534</v>
      </c>
      <c r="B27" s="2">
        <v>3</v>
      </c>
    </row>
    <row r="28" spans="1:2" x14ac:dyDescent="0.25">
      <c r="A28" s="5" t="s">
        <v>535</v>
      </c>
      <c r="B28" s="2">
        <v>20</v>
      </c>
    </row>
    <row r="29" spans="1:2" x14ac:dyDescent="0.25">
      <c r="A29" s="240" t="s">
        <v>536</v>
      </c>
      <c r="B29" s="241">
        <v>2</v>
      </c>
    </row>
    <row r="30" spans="1:2" x14ac:dyDescent="0.25">
      <c r="A30" s="5" t="s">
        <v>537</v>
      </c>
      <c r="B30" s="2">
        <v>10</v>
      </c>
    </row>
    <row r="31" spans="1:2" x14ac:dyDescent="0.25">
      <c r="A31" s="5" t="s">
        <v>538</v>
      </c>
      <c r="B31" s="2">
        <v>3</v>
      </c>
    </row>
    <row r="32" spans="1:2" x14ac:dyDescent="0.25">
      <c r="A32" s="5" t="s">
        <v>539</v>
      </c>
      <c r="B32" s="2">
        <v>20</v>
      </c>
    </row>
    <row r="33" spans="1:2" x14ac:dyDescent="0.25">
      <c r="A33" s="240" t="s">
        <v>540</v>
      </c>
      <c r="B33" s="241">
        <v>2</v>
      </c>
    </row>
    <row r="34" spans="1:2" x14ac:dyDescent="0.25">
      <c r="A34" s="5" t="s">
        <v>541</v>
      </c>
      <c r="B34" s="2">
        <v>10</v>
      </c>
    </row>
    <row r="35" spans="1:2" x14ac:dyDescent="0.25">
      <c r="A35" s="5" t="s">
        <v>542</v>
      </c>
      <c r="B35" s="2">
        <v>3</v>
      </c>
    </row>
    <row r="36" spans="1:2" x14ac:dyDescent="0.25">
      <c r="A36" s="229" t="s">
        <v>543</v>
      </c>
      <c r="B36" s="230">
        <v>20</v>
      </c>
    </row>
    <row r="37" spans="1:2" x14ac:dyDescent="0.25">
      <c r="A37" s="226" t="s">
        <v>277</v>
      </c>
      <c r="B37" s="227"/>
    </row>
    <row r="38" spans="1:2" x14ac:dyDescent="0.25">
      <c r="A38" s="232" t="s">
        <v>544</v>
      </c>
      <c r="B38" s="234">
        <f>nbServicePerDay*serviceRetention*((500)+((NbServiceExtension*8)+(NbFixedAttrServiceExtension*8)+(NbStrAttrServiceExtension*2*2*AvgStrLengthServiceExtension))) / (1024*1024)</f>
        <v>14350.89111328125</v>
      </c>
    </row>
    <row r="39" spans="1:2" x14ac:dyDescent="0.25">
      <c r="A39" s="232" t="s">
        <v>545</v>
      </c>
      <c r="B39" s="234">
        <f>nbServicePerDay*serviceRetention*NbStatePerService*((350)+((NbStateExtension*8*2)+(NbFixedAttrStateExtension*8)+(NbStrAttrStateExtension*2*2*AvgStrLengthStateExtension))) / (1024*1024)</f>
        <v>36151.885986328125</v>
      </c>
    </row>
    <row r="40" spans="1:2" x14ac:dyDescent="0.25">
      <c r="A40" s="232" t="s">
        <v>546</v>
      </c>
      <c r="B40" s="234">
        <f>nbServicePerDay*serviceRetention*NbTaskPerService*((350)+((NbTaskExtension*8*3)+(NbFixedAttrTaskExtension*8)+(NbStrAttrTaskExtension*2*2*AvgStrLengthTaskExtension))) / (1024*1024)</f>
        <v>73951.72119140625</v>
      </c>
    </row>
    <row r="41" spans="1:2" ht="15.6" x14ac:dyDescent="0.3">
      <c r="A41" s="235" t="s">
        <v>547</v>
      </c>
      <c r="B41" s="236">
        <f>SUM(B38:B40)</f>
        <v>124454.49829101563</v>
      </c>
    </row>
    <row r="42" spans="1:2" x14ac:dyDescent="0.25">
      <c r="A42" s="147"/>
      <c r="B42" s="242"/>
    </row>
    <row r="43" spans="1:2" x14ac:dyDescent="0.25">
      <c r="A43" s="226" t="s">
        <v>548</v>
      </c>
      <c r="B43" s="227" t="s">
        <v>0</v>
      </c>
    </row>
    <row r="44" spans="1:2" x14ac:dyDescent="0.25">
      <c r="A44" s="5" t="s">
        <v>549</v>
      </c>
      <c r="B44" s="228">
        <v>25</v>
      </c>
    </row>
    <row r="45" spans="1:2" x14ac:dyDescent="0.25">
      <c r="A45" s="5" t="s">
        <v>550</v>
      </c>
      <c r="B45" s="243">
        <v>6</v>
      </c>
    </row>
    <row r="46" spans="1:2" x14ac:dyDescent="0.25">
      <c r="A46" s="5" t="s">
        <v>551</v>
      </c>
      <c r="B46" s="243">
        <v>15</v>
      </c>
    </row>
    <row r="47" spans="1:2" x14ac:dyDescent="0.25">
      <c r="A47" s="5" t="s">
        <v>552</v>
      </c>
      <c r="B47" s="243">
        <v>10</v>
      </c>
    </row>
    <row r="48" spans="1:2" x14ac:dyDescent="0.25">
      <c r="A48" s="5" t="s">
        <v>553</v>
      </c>
      <c r="B48" s="2">
        <v>0</v>
      </c>
    </row>
    <row r="49" spans="1:2" x14ac:dyDescent="0.25">
      <c r="A49" s="240" t="s">
        <v>554</v>
      </c>
      <c r="B49" s="244">
        <v>100000</v>
      </c>
    </row>
    <row r="50" spans="1:2" x14ac:dyDescent="0.25">
      <c r="A50" s="5" t="s">
        <v>555</v>
      </c>
      <c r="B50" s="2">
        <v>5000</v>
      </c>
    </row>
    <row r="51" spans="1:2" x14ac:dyDescent="0.25">
      <c r="A51" s="229" t="s">
        <v>556</v>
      </c>
      <c r="B51" s="230">
        <v>365</v>
      </c>
    </row>
    <row r="52" spans="1:2" x14ac:dyDescent="0.25">
      <c r="A52" s="231" t="s">
        <v>277</v>
      </c>
      <c r="B52" s="227"/>
    </row>
    <row r="53" spans="1:2" ht="15.6" x14ac:dyDescent="0.3">
      <c r="A53" s="235" t="s">
        <v>557</v>
      </c>
      <c r="B53" s="245">
        <f>(((nbEmailPerDay*1024*AvgEmailSize) +(6700+2*AutoReplySize*nbEmailPerDay)+((PercentageOfEmailsWithAttachement*nbEmailPerDay)/100) * (1300+(AttachementSize*1024))+ nbChatPerDay*1024*5)*interactionRetention + nbContact*1024)/(1024*1024)</f>
        <v>939590.78359603882</v>
      </c>
    </row>
    <row r="54" spans="1:2" x14ac:dyDescent="0.25">
      <c r="A54" s="147"/>
    </row>
    <row r="55" spans="1:2" ht="15.6" x14ac:dyDescent="0.3">
      <c r="A55" s="246" t="s">
        <v>558</v>
      </c>
      <c r="B55" s="247">
        <f>SUM(B53,B41)</f>
        <v>1064045.2818870544</v>
      </c>
    </row>
    <row r="57" spans="1:2" ht="15.6" x14ac:dyDescent="0.3">
      <c r="A57" s="246" t="s">
        <v>559</v>
      </c>
      <c r="B57" s="247">
        <f>totalUCSCS*1.3</f>
        <v>1383258.8664531708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D8"/>
  <sheetViews>
    <sheetView workbookViewId="0">
      <selection activeCell="B9" sqref="B9"/>
    </sheetView>
  </sheetViews>
  <sheetFormatPr defaultRowHeight="13.2" x14ac:dyDescent="0.25"/>
  <cols>
    <col min="1" max="1" width="0.88671875" customWidth="1"/>
    <col min="2" max="2" width="43.6640625" customWidth="1"/>
    <col min="3" max="4" width="27.109375" customWidth="1"/>
  </cols>
  <sheetData>
    <row r="1" spans="2:4" ht="15.6" x14ac:dyDescent="0.3">
      <c r="B1" s="148" t="s">
        <v>615</v>
      </c>
      <c r="C1" s="97"/>
    </row>
    <row r="2" spans="2:4" ht="12.75" customHeight="1" x14ac:dyDescent="0.3">
      <c r="B2" s="148"/>
      <c r="C2" s="97"/>
    </row>
    <row r="3" spans="2:4" ht="30" customHeight="1" x14ac:dyDescent="0.25">
      <c r="B3" s="320" t="s">
        <v>614</v>
      </c>
      <c r="C3" s="321"/>
      <c r="D3" s="321"/>
    </row>
    <row r="4" spans="2:4" ht="72.75" customHeight="1" x14ac:dyDescent="0.25">
      <c r="B4" s="322" t="s">
        <v>670</v>
      </c>
      <c r="C4" s="321"/>
      <c r="D4" s="321"/>
    </row>
    <row r="5" spans="2:4" x14ac:dyDescent="0.25">
      <c r="D5" s="98"/>
    </row>
    <row r="6" spans="2:4" x14ac:dyDescent="0.25">
      <c r="B6" s="85"/>
    </row>
    <row r="8" spans="2:4" x14ac:dyDescent="0.25">
      <c r="C8" s="75"/>
    </row>
  </sheetData>
  <mergeCells count="2">
    <mergeCell ref="B3:D3"/>
    <mergeCell ref="B4:D4"/>
  </mergeCells>
  <phoneticPr fontId="4"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52"/>
  <sheetViews>
    <sheetView workbookViewId="0"/>
  </sheetViews>
  <sheetFormatPr defaultRowHeight="13.2" x14ac:dyDescent="0.25"/>
  <cols>
    <col min="1" max="1" width="41.33203125" customWidth="1"/>
    <col min="2" max="2" width="15.6640625" customWidth="1"/>
    <col min="3" max="3" width="21.33203125" customWidth="1"/>
    <col min="4" max="4" width="10.109375" customWidth="1"/>
  </cols>
  <sheetData>
    <row r="1" spans="1:3" x14ac:dyDescent="0.25">
      <c r="A1" s="50" t="s">
        <v>403</v>
      </c>
    </row>
    <row r="2" spans="1:3" ht="79.2" x14ac:dyDescent="0.25">
      <c r="A2" s="7" t="s">
        <v>278</v>
      </c>
      <c r="B2" s="8"/>
    </row>
    <row r="3" spans="1:3" x14ac:dyDescent="0.25">
      <c r="A3" s="7"/>
      <c r="B3" s="8"/>
    </row>
    <row r="4" spans="1:3" x14ac:dyDescent="0.25">
      <c r="A4" s="3" t="s">
        <v>3</v>
      </c>
      <c r="B4" s="8"/>
    </row>
    <row r="5" spans="1:3" x14ac:dyDescent="0.25">
      <c r="A5" s="11"/>
      <c r="B5" s="8"/>
    </row>
    <row r="6" spans="1:3" x14ac:dyDescent="0.25">
      <c r="A6" s="4" t="s">
        <v>5</v>
      </c>
      <c r="B6" s="12" t="s">
        <v>0</v>
      </c>
    </row>
    <row r="7" spans="1:3" s="1" customFormat="1" x14ac:dyDescent="0.25">
      <c r="A7" s="5" t="s">
        <v>4</v>
      </c>
      <c r="B7" s="10">
        <v>2</v>
      </c>
      <c r="C7" s="16"/>
    </row>
    <row r="8" spans="1:3" x14ac:dyDescent="0.25">
      <c r="A8" s="5" t="s">
        <v>6</v>
      </c>
      <c r="B8" s="2">
        <v>10</v>
      </c>
      <c r="C8" s="15"/>
    </row>
    <row r="9" spans="1:3" x14ac:dyDescent="0.25">
      <c r="A9" s="5" t="s">
        <v>7</v>
      </c>
      <c r="B9" s="2">
        <v>35</v>
      </c>
      <c r="C9" s="15"/>
    </row>
    <row r="10" spans="1:3" x14ac:dyDescent="0.25">
      <c r="A10" s="5" t="s">
        <v>8</v>
      </c>
      <c r="B10" s="2">
        <v>1000</v>
      </c>
      <c r="C10" s="15"/>
    </row>
    <row r="11" spans="1:3" x14ac:dyDescent="0.25">
      <c r="A11" s="5" t="s">
        <v>15</v>
      </c>
      <c r="B11" s="2">
        <v>2</v>
      </c>
      <c r="C11" s="15"/>
    </row>
    <row r="12" spans="1:3" x14ac:dyDescent="0.25">
      <c r="A12" s="5" t="s">
        <v>14</v>
      </c>
      <c r="B12" s="2">
        <v>1</v>
      </c>
      <c r="C12" s="15"/>
    </row>
    <row r="13" spans="1:3" x14ac:dyDescent="0.25">
      <c r="A13" s="5" t="s">
        <v>18</v>
      </c>
      <c r="B13" s="2">
        <v>1</v>
      </c>
      <c r="C13" s="15"/>
    </row>
    <row r="14" spans="1:3" x14ac:dyDescent="0.25">
      <c r="A14" s="6" t="s">
        <v>21</v>
      </c>
      <c r="B14" s="2">
        <v>4</v>
      </c>
    </row>
    <row r="15" spans="1:3" x14ac:dyDescent="0.25">
      <c r="A15" s="6" t="s">
        <v>10</v>
      </c>
      <c r="B15" s="9">
        <v>5</v>
      </c>
    </row>
    <row r="16" spans="1:3" x14ac:dyDescent="0.25">
      <c r="A16" s="5" t="s">
        <v>20</v>
      </c>
      <c r="B16" s="2">
        <v>12</v>
      </c>
      <c r="C16" s="15"/>
    </row>
    <row r="17" spans="1:3" x14ac:dyDescent="0.25">
      <c r="A17" s="5" t="s">
        <v>40</v>
      </c>
      <c r="B17" s="2">
        <v>21</v>
      </c>
      <c r="C17" s="15"/>
    </row>
    <row r="18" spans="1:3" x14ac:dyDescent="0.25">
      <c r="A18" s="5" t="s">
        <v>41</v>
      </c>
      <c r="B18" s="2">
        <v>64</v>
      </c>
      <c r="C18" s="15"/>
    </row>
    <row r="19" spans="1:3" x14ac:dyDescent="0.25">
      <c r="A19" s="12" t="s">
        <v>34</v>
      </c>
      <c r="B19" s="13" t="s">
        <v>0</v>
      </c>
      <c r="C19" s="15"/>
    </row>
    <row r="20" spans="1:3" x14ac:dyDescent="0.25">
      <c r="A20" s="5" t="s">
        <v>9</v>
      </c>
      <c r="B20" s="2">
        <v>2</v>
      </c>
      <c r="C20" s="15"/>
    </row>
    <row r="21" spans="1:3" x14ac:dyDescent="0.25">
      <c r="A21" s="5" t="s">
        <v>33</v>
      </c>
      <c r="B21" s="2">
        <v>2</v>
      </c>
      <c r="C21" s="15"/>
    </row>
    <row r="22" spans="1:3" x14ac:dyDescent="0.25">
      <c r="A22" s="6" t="s">
        <v>11</v>
      </c>
      <c r="B22" s="2">
        <v>3000</v>
      </c>
    </row>
    <row r="23" spans="1:3" x14ac:dyDescent="0.25">
      <c r="A23" s="6" t="s">
        <v>12</v>
      </c>
      <c r="B23" s="2">
        <v>100</v>
      </c>
    </row>
    <row r="24" spans="1:3" x14ac:dyDescent="0.25">
      <c r="A24" s="6" t="s">
        <v>19</v>
      </c>
      <c r="B24" s="2">
        <v>3000</v>
      </c>
    </row>
    <row r="25" spans="1:3" x14ac:dyDescent="0.25">
      <c r="A25" s="6" t="s">
        <v>1</v>
      </c>
      <c r="B25" s="2">
        <v>2000</v>
      </c>
    </row>
    <row r="26" spans="1:3" x14ac:dyDescent="0.25">
      <c r="A26" s="6" t="s">
        <v>13</v>
      </c>
      <c r="B26" s="2">
        <v>100</v>
      </c>
    </row>
    <row r="27" spans="1:3" x14ac:dyDescent="0.25">
      <c r="A27" s="6" t="s">
        <v>16</v>
      </c>
      <c r="B27" s="2">
        <v>2100</v>
      </c>
    </row>
    <row r="28" spans="1:3" x14ac:dyDescent="0.25">
      <c r="A28" s="6" t="s">
        <v>17</v>
      </c>
      <c r="B28" s="2">
        <v>100</v>
      </c>
    </row>
    <row r="29" spans="1:3" x14ac:dyDescent="0.25">
      <c r="A29" s="6" t="s">
        <v>26</v>
      </c>
      <c r="B29" s="2">
        <v>20</v>
      </c>
    </row>
    <row r="30" spans="1:3" x14ac:dyDescent="0.25">
      <c r="A30" s="6" t="s">
        <v>401</v>
      </c>
      <c r="B30" s="2">
        <v>20</v>
      </c>
    </row>
    <row r="31" spans="1:3" x14ac:dyDescent="0.25">
      <c r="A31" s="6" t="s">
        <v>27</v>
      </c>
      <c r="B31" s="2">
        <v>20</v>
      </c>
    </row>
    <row r="32" spans="1:3" x14ac:dyDescent="0.25">
      <c r="A32" s="4" t="s">
        <v>35</v>
      </c>
      <c r="B32" s="13" t="s">
        <v>0</v>
      </c>
    </row>
    <row r="33" spans="1:2" x14ac:dyDescent="0.25">
      <c r="A33" s="6" t="s">
        <v>22</v>
      </c>
      <c r="B33" s="2">
        <v>5</v>
      </c>
    </row>
    <row r="34" spans="1:2" x14ac:dyDescent="0.25">
      <c r="A34" s="6" t="s">
        <v>23</v>
      </c>
      <c r="B34" s="2">
        <v>5</v>
      </c>
    </row>
    <row r="35" spans="1:2" x14ac:dyDescent="0.25">
      <c r="A35" s="6" t="s">
        <v>28</v>
      </c>
      <c r="B35" s="2">
        <v>1</v>
      </c>
    </row>
    <row r="36" spans="1:2" x14ac:dyDescent="0.25">
      <c r="A36" s="6" t="s">
        <v>24</v>
      </c>
      <c r="B36" s="2">
        <v>2</v>
      </c>
    </row>
    <row r="37" spans="1:2" x14ac:dyDescent="0.25">
      <c r="A37" s="6" t="s">
        <v>44</v>
      </c>
      <c r="B37" s="2">
        <v>1</v>
      </c>
    </row>
    <row r="38" spans="1:2" x14ac:dyDescent="0.25">
      <c r="A38" s="6" t="s">
        <v>25</v>
      </c>
      <c r="B38" s="2">
        <v>20</v>
      </c>
    </row>
    <row r="39" spans="1:2" x14ac:dyDescent="0.25">
      <c r="A39" s="4" t="s">
        <v>36</v>
      </c>
      <c r="B39" s="13" t="s">
        <v>0</v>
      </c>
    </row>
    <row r="40" spans="1:2" x14ac:dyDescent="0.25">
      <c r="A40" s="6" t="s">
        <v>2</v>
      </c>
      <c r="B40" s="2">
        <v>1000</v>
      </c>
    </row>
    <row r="41" spans="1:2" x14ac:dyDescent="0.25">
      <c r="A41" s="6" t="s">
        <v>32</v>
      </c>
      <c r="B41" s="2">
        <v>100</v>
      </c>
    </row>
    <row r="42" spans="1:2" x14ac:dyDescent="0.25">
      <c r="A42" s="6" t="s">
        <v>37</v>
      </c>
      <c r="B42" s="2">
        <v>1</v>
      </c>
    </row>
    <row r="43" spans="1:2" x14ac:dyDescent="0.25">
      <c r="A43" s="6" t="s">
        <v>42</v>
      </c>
      <c r="B43" s="2">
        <v>5</v>
      </c>
    </row>
    <row r="44" spans="1:2" x14ac:dyDescent="0.25">
      <c r="A44" s="6" t="s">
        <v>43</v>
      </c>
      <c r="B44" s="2">
        <v>5</v>
      </c>
    </row>
    <row r="45" spans="1:2" x14ac:dyDescent="0.25">
      <c r="A45" s="6" t="s">
        <v>38</v>
      </c>
      <c r="B45" s="2">
        <v>50</v>
      </c>
    </row>
    <row r="46" spans="1:2" x14ac:dyDescent="0.25">
      <c r="A46" s="4" t="s">
        <v>39</v>
      </c>
      <c r="B46" s="13" t="s">
        <v>0</v>
      </c>
    </row>
    <row r="47" spans="1:2" x14ac:dyDescent="0.25">
      <c r="A47" s="6" t="s">
        <v>29</v>
      </c>
      <c r="B47" s="2"/>
    </row>
    <row r="48" spans="1:2" x14ac:dyDescent="0.25">
      <c r="A48" s="6" t="s">
        <v>30</v>
      </c>
      <c r="B48" s="2"/>
    </row>
    <row r="49" spans="1:2" x14ac:dyDescent="0.25">
      <c r="A49" s="6" t="s">
        <v>31</v>
      </c>
      <c r="B49" s="2"/>
    </row>
    <row r="50" spans="1:2" x14ac:dyDescent="0.25">
      <c r="A50" s="20" t="s">
        <v>45</v>
      </c>
      <c r="B50" s="21"/>
    </row>
    <row r="51" spans="1:2" s="19" customFormat="1" x14ac:dyDescent="0.25">
      <c r="A51" s="18"/>
      <c r="B51" s="14"/>
    </row>
    <row r="52" spans="1:2" x14ac:dyDescent="0.25">
      <c r="A52" s="12" t="s">
        <v>46</v>
      </c>
      <c r="B52" s="95">
        <f>SUM(B7:B18,B20:B31,B33:B38,B40:B45,B47:B50)*10*1024/(1024*1024)</f>
        <v>125.15625</v>
      </c>
    </row>
  </sheetData>
  <phoneticPr fontId="4"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68"/>
  <sheetViews>
    <sheetView workbookViewId="0"/>
  </sheetViews>
  <sheetFormatPr defaultRowHeight="13.2" x14ac:dyDescent="0.25"/>
  <cols>
    <col min="1" max="1" width="41.33203125" customWidth="1"/>
    <col min="2" max="2" width="15.6640625" customWidth="1"/>
    <col min="3" max="3" width="11" customWidth="1"/>
    <col min="4" max="4" width="21.33203125" customWidth="1"/>
    <col min="5" max="5" width="10.109375" customWidth="1"/>
    <col min="9" max="9" width="14.109375" customWidth="1"/>
  </cols>
  <sheetData>
    <row r="1" spans="1:9" ht="26.4" x14ac:dyDescent="0.25">
      <c r="A1" s="22" t="s">
        <v>47</v>
      </c>
      <c r="B1" s="23" t="s">
        <v>281</v>
      </c>
      <c r="C1" s="24" t="s">
        <v>48</v>
      </c>
    </row>
    <row r="2" spans="1:9" x14ac:dyDescent="0.25">
      <c r="A2" s="147" t="s">
        <v>406</v>
      </c>
      <c r="B2" s="25" t="s">
        <v>49</v>
      </c>
      <c r="C2" s="26">
        <f>VLOOKUP(B2,H3:I6,2,FALSE)</f>
        <v>83</v>
      </c>
      <c r="H2" s="27" t="s">
        <v>50</v>
      </c>
      <c r="I2" s="27" t="s">
        <v>48</v>
      </c>
    </row>
    <row r="3" spans="1:9" s="152" customFormat="1" ht="170.1" customHeight="1" x14ac:dyDescent="0.25">
      <c r="A3" s="153" t="s">
        <v>282</v>
      </c>
      <c r="B3" s="154"/>
      <c r="D3" s="155"/>
      <c r="H3" s="156" t="s">
        <v>51</v>
      </c>
      <c r="I3" s="156">
        <v>42</v>
      </c>
    </row>
    <row r="4" spans="1:9" x14ac:dyDescent="0.25">
      <c r="A4" s="7"/>
      <c r="B4" s="8"/>
      <c r="H4" s="28" t="s">
        <v>52</v>
      </c>
      <c r="I4" s="28">
        <v>66</v>
      </c>
    </row>
    <row r="5" spans="1:9" x14ac:dyDescent="0.25">
      <c r="A5" s="3" t="s">
        <v>53</v>
      </c>
      <c r="B5" s="8"/>
      <c r="H5" s="28" t="s">
        <v>54</v>
      </c>
      <c r="I5" s="28">
        <v>58</v>
      </c>
    </row>
    <row r="6" spans="1:9" x14ac:dyDescent="0.25">
      <c r="A6" s="11"/>
      <c r="B6" s="8"/>
      <c r="H6" s="28" t="s">
        <v>49</v>
      </c>
      <c r="I6" s="28">
        <v>83</v>
      </c>
    </row>
    <row r="7" spans="1:9" x14ac:dyDescent="0.25">
      <c r="A7" s="4" t="s">
        <v>55</v>
      </c>
      <c r="B7" s="12" t="s">
        <v>0</v>
      </c>
      <c r="C7" s="12" t="s">
        <v>56</v>
      </c>
      <c r="H7" s="1"/>
      <c r="I7" s="1"/>
    </row>
    <row r="8" spans="1:9" s="1" customFormat="1" x14ac:dyDescent="0.25">
      <c r="A8" s="5" t="s">
        <v>57</v>
      </c>
      <c r="B8" s="10">
        <v>1</v>
      </c>
      <c r="C8" s="29">
        <v>24</v>
      </c>
      <c r="D8" s="16"/>
    </row>
    <row r="9" spans="1:9" x14ac:dyDescent="0.25">
      <c r="A9" s="5" t="s">
        <v>58</v>
      </c>
      <c r="B9" s="2">
        <v>1</v>
      </c>
      <c r="C9" s="30">
        <v>25</v>
      </c>
      <c r="D9" s="15"/>
    </row>
    <row r="10" spans="1:9" x14ac:dyDescent="0.25">
      <c r="A10" s="5" t="s">
        <v>59</v>
      </c>
      <c r="B10" s="2">
        <v>1</v>
      </c>
      <c r="C10" s="30">
        <v>24</v>
      </c>
      <c r="D10" s="15"/>
    </row>
    <row r="11" spans="1:9" x14ac:dyDescent="0.25">
      <c r="A11" s="5" t="s">
        <v>60</v>
      </c>
      <c r="B11" s="2">
        <v>25</v>
      </c>
      <c r="C11" s="30">
        <v>7</v>
      </c>
      <c r="D11" s="15"/>
    </row>
    <row r="12" spans="1:9" x14ac:dyDescent="0.25">
      <c r="A12" s="5" t="s">
        <v>61</v>
      </c>
      <c r="B12" s="2">
        <v>25</v>
      </c>
      <c r="C12" s="30">
        <v>28</v>
      </c>
      <c r="D12" s="15"/>
    </row>
    <row r="13" spans="1:9" x14ac:dyDescent="0.25">
      <c r="A13" s="5" t="s">
        <v>62</v>
      </c>
      <c r="B13" s="2">
        <v>5</v>
      </c>
      <c r="C13" s="30">
        <v>11</v>
      </c>
      <c r="D13" s="15"/>
    </row>
    <row r="14" spans="1:9" x14ac:dyDescent="0.25">
      <c r="A14" s="5" t="s">
        <v>63</v>
      </c>
      <c r="B14" s="2">
        <v>500</v>
      </c>
      <c r="C14" s="30">
        <v>32</v>
      </c>
      <c r="D14" s="15"/>
    </row>
    <row r="15" spans="1:9" x14ac:dyDescent="0.25">
      <c r="A15" s="5" t="s">
        <v>64</v>
      </c>
      <c r="B15" s="2">
        <v>50</v>
      </c>
      <c r="C15" s="30">
        <v>32</v>
      </c>
      <c r="D15" s="15"/>
    </row>
    <row r="16" spans="1:9" x14ac:dyDescent="0.25">
      <c r="A16" s="6" t="s">
        <v>65</v>
      </c>
      <c r="B16" s="2">
        <v>250</v>
      </c>
      <c r="C16" s="30">
        <v>28</v>
      </c>
      <c r="D16" s="15"/>
    </row>
    <row r="17" spans="1:4" x14ac:dyDescent="0.25">
      <c r="A17" s="6" t="s">
        <v>66</v>
      </c>
      <c r="B17" s="2">
        <v>5</v>
      </c>
      <c r="C17" s="30">
        <v>11</v>
      </c>
      <c r="D17" s="15"/>
    </row>
    <row r="18" spans="1:4" x14ac:dyDescent="0.25">
      <c r="A18" s="31" t="s">
        <v>67</v>
      </c>
      <c r="B18" s="21">
        <v>25</v>
      </c>
      <c r="C18" s="32">
        <v>11</v>
      </c>
      <c r="D18" s="15"/>
    </row>
    <row r="19" spans="1:4" x14ac:dyDescent="0.25">
      <c r="A19" s="4" t="s">
        <v>68</v>
      </c>
      <c r="B19" s="13" t="s">
        <v>0</v>
      </c>
      <c r="C19" s="12" t="s">
        <v>56</v>
      </c>
    </row>
    <row r="20" spans="1:4" x14ac:dyDescent="0.25">
      <c r="A20" s="6" t="s">
        <v>69</v>
      </c>
      <c r="B20" s="9">
        <v>5</v>
      </c>
      <c r="C20" s="33">
        <v>9</v>
      </c>
    </row>
    <row r="21" spans="1:4" x14ac:dyDescent="0.25">
      <c r="A21" s="6" t="s">
        <v>70</v>
      </c>
      <c r="B21" s="2">
        <v>5</v>
      </c>
      <c r="C21" s="33">
        <v>12</v>
      </c>
    </row>
    <row r="22" spans="1:4" x14ac:dyDescent="0.25">
      <c r="A22" s="6" t="s">
        <v>71</v>
      </c>
      <c r="B22" s="2">
        <v>10</v>
      </c>
      <c r="C22" s="33">
        <v>9</v>
      </c>
    </row>
    <row r="23" spans="1:4" x14ac:dyDescent="0.25">
      <c r="A23" s="6" t="s">
        <v>72</v>
      </c>
      <c r="B23" s="2">
        <v>10</v>
      </c>
      <c r="C23" s="33">
        <v>12</v>
      </c>
    </row>
    <row r="24" spans="1:4" x14ac:dyDescent="0.25">
      <c r="A24" s="6" t="s">
        <v>73</v>
      </c>
      <c r="B24" s="2">
        <v>50</v>
      </c>
      <c r="C24" s="33">
        <v>12</v>
      </c>
    </row>
    <row r="25" spans="1:4" x14ac:dyDescent="0.25">
      <c r="A25" s="6" t="s">
        <v>74</v>
      </c>
      <c r="B25" s="2">
        <v>2</v>
      </c>
      <c r="C25" s="34">
        <v>21</v>
      </c>
    </row>
    <row r="26" spans="1:4" x14ac:dyDescent="0.25">
      <c r="A26" s="4" t="s">
        <v>75</v>
      </c>
      <c r="B26" s="35" t="s">
        <v>0</v>
      </c>
      <c r="C26" s="12" t="s">
        <v>56</v>
      </c>
    </row>
    <row r="27" spans="1:4" x14ac:dyDescent="0.25">
      <c r="A27" s="6" t="s">
        <v>76</v>
      </c>
      <c r="B27" s="2">
        <v>1000</v>
      </c>
      <c r="C27" s="33">
        <v>28</v>
      </c>
    </row>
    <row r="28" spans="1:4" x14ac:dyDescent="0.25">
      <c r="A28" s="6" t="s">
        <v>77</v>
      </c>
      <c r="B28" s="2">
        <v>100</v>
      </c>
      <c r="C28" s="33">
        <v>28</v>
      </c>
    </row>
    <row r="29" spans="1:4" x14ac:dyDescent="0.25">
      <c r="A29" s="6" t="s">
        <v>61</v>
      </c>
      <c r="B29" s="2">
        <v>25</v>
      </c>
      <c r="C29" s="33">
        <v>28</v>
      </c>
    </row>
    <row r="30" spans="1:4" x14ac:dyDescent="0.25">
      <c r="A30" s="6" t="s">
        <v>78</v>
      </c>
      <c r="B30" s="2">
        <v>5</v>
      </c>
      <c r="C30" s="33">
        <v>11</v>
      </c>
    </row>
    <row r="31" spans="1:4" x14ac:dyDescent="0.25">
      <c r="A31" s="6" t="s">
        <v>65</v>
      </c>
      <c r="B31" s="2">
        <v>500</v>
      </c>
      <c r="C31" s="33">
        <v>28</v>
      </c>
    </row>
    <row r="32" spans="1:4" x14ac:dyDescent="0.25">
      <c r="A32" s="6" t="s">
        <v>66</v>
      </c>
      <c r="B32" s="2">
        <v>10</v>
      </c>
      <c r="C32" s="33">
        <v>11</v>
      </c>
    </row>
    <row r="33" spans="1:3" x14ac:dyDescent="0.25">
      <c r="A33" s="6" t="s">
        <v>67</v>
      </c>
      <c r="B33" s="2">
        <v>50</v>
      </c>
      <c r="C33" s="36">
        <v>11</v>
      </c>
    </row>
    <row r="34" spans="1:3" x14ac:dyDescent="0.25">
      <c r="A34" s="4" t="s">
        <v>79</v>
      </c>
      <c r="B34" s="35" t="s">
        <v>0</v>
      </c>
      <c r="C34" s="12" t="s">
        <v>56</v>
      </c>
    </row>
    <row r="35" spans="1:3" x14ac:dyDescent="0.25">
      <c r="A35" s="37" t="s">
        <v>80</v>
      </c>
      <c r="B35" s="38"/>
      <c r="C35" s="39"/>
    </row>
    <row r="36" spans="1:3" x14ac:dyDescent="0.25">
      <c r="A36" s="6" t="s">
        <v>81</v>
      </c>
      <c r="B36" s="2">
        <v>1000</v>
      </c>
      <c r="C36" s="33">
        <v>11</v>
      </c>
    </row>
    <row r="37" spans="1:3" x14ac:dyDescent="0.25">
      <c r="A37" s="6" t="s">
        <v>82</v>
      </c>
      <c r="B37" s="2">
        <v>100</v>
      </c>
      <c r="C37" s="33">
        <v>11</v>
      </c>
    </row>
    <row r="38" spans="1:3" x14ac:dyDescent="0.25">
      <c r="A38" s="6" t="s">
        <v>83</v>
      </c>
      <c r="B38" s="2">
        <v>25</v>
      </c>
      <c r="C38" s="33">
        <v>11</v>
      </c>
    </row>
    <row r="39" spans="1:3" x14ac:dyDescent="0.25">
      <c r="A39" s="6" t="s">
        <v>84</v>
      </c>
      <c r="B39" s="2">
        <v>50</v>
      </c>
      <c r="C39" s="33">
        <v>5</v>
      </c>
    </row>
    <row r="40" spans="1:3" x14ac:dyDescent="0.25">
      <c r="A40" s="6" t="s">
        <v>85</v>
      </c>
      <c r="B40" s="2">
        <v>500</v>
      </c>
      <c r="C40" s="33">
        <v>11</v>
      </c>
    </row>
    <row r="41" spans="1:3" x14ac:dyDescent="0.25">
      <c r="A41" s="6" t="s">
        <v>86</v>
      </c>
      <c r="B41" s="2">
        <v>2</v>
      </c>
      <c r="C41" s="33">
        <v>11</v>
      </c>
    </row>
    <row r="42" spans="1:3" x14ac:dyDescent="0.25">
      <c r="A42" s="11" t="s">
        <v>87</v>
      </c>
      <c r="B42" s="40"/>
      <c r="C42" s="41"/>
    </row>
    <row r="43" spans="1:3" x14ac:dyDescent="0.25">
      <c r="A43" s="6" t="s">
        <v>88</v>
      </c>
      <c r="B43" s="2">
        <v>1000</v>
      </c>
      <c r="C43" s="33">
        <v>13</v>
      </c>
    </row>
    <row r="44" spans="1:3" x14ac:dyDescent="0.25">
      <c r="A44" s="6" t="s">
        <v>89</v>
      </c>
      <c r="B44" s="2">
        <v>100</v>
      </c>
      <c r="C44" s="33">
        <v>13</v>
      </c>
    </row>
    <row r="45" spans="1:3" x14ac:dyDescent="0.25">
      <c r="A45" s="6" t="s">
        <v>90</v>
      </c>
      <c r="B45" s="2">
        <v>3</v>
      </c>
      <c r="C45" s="33">
        <v>7</v>
      </c>
    </row>
    <row r="46" spans="1:3" x14ac:dyDescent="0.25">
      <c r="A46" s="6" t="s">
        <v>91</v>
      </c>
      <c r="B46" s="2">
        <v>25</v>
      </c>
      <c r="C46" s="33">
        <v>13</v>
      </c>
    </row>
    <row r="47" spans="1:3" x14ac:dyDescent="0.25">
      <c r="A47" s="6" t="s">
        <v>92</v>
      </c>
      <c r="B47" s="2">
        <v>500</v>
      </c>
      <c r="C47" s="33">
        <v>13</v>
      </c>
    </row>
    <row r="48" spans="1:3" x14ac:dyDescent="0.25">
      <c r="A48" s="11" t="s">
        <v>93</v>
      </c>
      <c r="B48" s="42"/>
      <c r="C48" s="41"/>
    </row>
    <row r="49" spans="1:3" x14ac:dyDescent="0.25">
      <c r="A49" s="6" t="s">
        <v>94</v>
      </c>
      <c r="B49" s="2">
        <v>1000</v>
      </c>
      <c r="C49" s="33">
        <v>22</v>
      </c>
    </row>
    <row r="50" spans="1:3" x14ac:dyDescent="0.25">
      <c r="A50" s="6" t="s">
        <v>95</v>
      </c>
      <c r="B50" s="2">
        <v>100</v>
      </c>
      <c r="C50" s="33">
        <v>27</v>
      </c>
    </row>
    <row r="51" spans="1:3" x14ac:dyDescent="0.25">
      <c r="A51" s="6" t="s">
        <v>96</v>
      </c>
      <c r="B51" s="2">
        <v>5</v>
      </c>
      <c r="C51" s="33">
        <v>13</v>
      </c>
    </row>
    <row r="52" spans="1:3" x14ac:dyDescent="0.25">
      <c r="A52" s="6" t="s">
        <v>97</v>
      </c>
      <c r="B52" s="2">
        <v>500</v>
      </c>
      <c r="C52" s="33">
        <v>22</v>
      </c>
    </row>
    <row r="53" spans="1:3" x14ac:dyDescent="0.25">
      <c r="A53" s="6" t="s">
        <v>98</v>
      </c>
      <c r="B53" s="2">
        <v>25</v>
      </c>
      <c r="C53" s="33">
        <v>27</v>
      </c>
    </row>
    <row r="54" spans="1:3" x14ac:dyDescent="0.25">
      <c r="A54" s="6" t="s">
        <v>99</v>
      </c>
      <c r="B54" s="2">
        <v>10</v>
      </c>
      <c r="C54" s="33">
        <v>13</v>
      </c>
    </row>
    <row r="55" spans="1:3" x14ac:dyDescent="0.25">
      <c r="A55" s="6" t="s">
        <v>100</v>
      </c>
      <c r="B55" s="2">
        <v>50</v>
      </c>
      <c r="C55" s="34">
        <v>13</v>
      </c>
    </row>
    <row r="56" spans="1:3" x14ac:dyDescent="0.25">
      <c r="A56" s="31" t="s">
        <v>101</v>
      </c>
      <c r="B56" s="21">
        <v>2</v>
      </c>
      <c r="C56" s="43">
        <v>16</v>
      </c>
    </row>
    <row r="57" spans="1:3" x14ac:dyDescent="0.25">
      <c r="A57" s="44"/>
      <c r="B57" s="45"/>
    </row>
    <row r="58" spans="1:3" x14ac:dyDescent="0.25">
      <c r="A58" s="4" t="s">
        <v>102</v>
      </c>
      <c r="B58" s="46">
        <f t="array" ref="B58">SUM(B8:B18*C8:C18,B20:B25*C20:C25,B27:B33*C27:C33,B36:B41*C36:C41,B43:B47*C43:C47,B49:B56*C49:C56)</f>
        <v>149650</v>
      </c>
    </row>
    <row r="59" spans="1:3" x14ac:dyDescent="0.25">
      <c r="A59" s="47"/>
      <c r="B59" s="45"/>
    </row>
    <row r="60" spans="1:3" x14ac:dyDescent="0.25">
      <c r="A60" s="4" t="s">
        <v>103</v>
      </c>
      <c r="B60" s="48">
        <v>96</v>
      </c>
    </row>
    <row r="61" spans="1:3" x14ac:dyDescent="0.25">
      <c r="A61" s="44"/>
      <c r="B61" s="49"/>
      <c r="C61" s="50"/>
    </row>
    <row r="62" spans="1:3" x14ac:dyDescent="0.25">
      <c r="A62" s="4" t="s">
        <v>104</v>
      </c>
      <c r="B62" s="48">
        <v>5</v>
      </c>
    </row>
    <row r="63" spans="1:3" x14ac:dyDescent="0.25">
      <c r="B63" s="49"/>
    </row>
    <row r="64" spans="1:3" x14ac:dyDescent="0.25">
      <c r="A64" s="51" t="s">
        <v>105</v>
      </c>
      <c r="B64" s="17">
        <f>B58*C2*B60*(B62+2)/1073741824</f>
        <v>7.7736362814903259</v>
      </c>
    </row>
    <row r="65" spans="1:2" x14ac:dyDescent="0.25">
      <c r="B65" s="14"/>
    </row>
    <row r="66" spans="1:2" x14ac:dyDescent="0.25">
      <c r="A66" s="12" t="s">
        <v>106</v>
      </c>
      <c r="B66" s="48">
        <v>365</v>
      </c>
    </row>
    <row r="67" spans="1:2" s="19" customFormat="1" x14ac:dyDescent="0.25">
      <c r="A67" s="18"/>
      <c r="B67" s="14"/>
    </row>
    <row r="68" spans="1:2" x14ac:dyDescent="0.25">
      <c r="A68" s="12" t="s">
        <v>107</v>
      </c>
      <c r="B68" s="17">
        <f>(B58*B60*B66*8+20000)/1073741824</f>
        <v>39.068896323442459</v>
      </c>
    </row>
  </sheetData>
  <phoneticPr fontId="4" type="noConversion"/>
  <dataValidations count="1">
    <dataValidation type="list" allowBlank="1" showInputMessage="1" showErrorMessage="1" sqref="B2">
      <formula1>$H$3:$H$8</formula1>
    </dataValidation>
  </dataValidations>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7"/>
  <sheetViews>
    <sheetView workbookViewId="0">
      <selection sqref="A1:XFD7"/>
    </sheetView>
  </sheetViews>
  <sheetFormatPr defaultRowHeight="13.2" x14ac:dyDescent="0.25"/>
  <cols>
    <col min="1" max="1" width="11.33203125" customWidth="1"/>
  </cols>
  <sheetData>
    <row r="1" spans="1:6" ht="15.6" x14ac:dyDescent="0.3">
      <c r="A1" s="148" t="s">
        <v>648</v>
      </c>
    </row>
    <row r="3" spans="1:6" x14ac:dyDescent="0.25">
      <c r="A3" s="309" t="s">
        <v>652</v>
      </c>
    </row>
    <row r="4" spans="1:6" x14ac:dyDescent="0.25">
      <c r="B4" s="323" t="s">
        <v>654</v>
      </c>
      <c r="C4" s="323"/>
      <c r="D4" s="323"/>
      <c r="E4" s="323"/>
    </row>
    <row r="6" spans="1:6" x14ac:dyDescent="0.25">
      <c r="A6" s="309" t="s">
        <v>651</v>
      </c>
    </row>
    <row r="7" spans="1:6" x14ac:dyDescent="0.25">
      <c r="A7" s="98"/>
      <c r="B7" s="323" t="s">
        <v>659</v>
      </c>
      <c r="C7" s="323"/>
      <c r="D7" s="323"/>
      <c r="E7" s="323"/>
      <c r="F7" s="323"/>
    </row>
  </sheetData>
  <mergeCells count="2">
    <mergeCell ref="B4:E4"/>
    <mergeCell ref="B7:F7"/>
  </mergeCells>
  <hyperlinks>
    <hyperlink ref="B7" r:id="rId1"/>
    <hyperlink ref="B4" r:id="rI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heetViews>
  <sheetFormatPr defaultRowHeight="13.2" x14ac:dyDescent="0.25"/>
  <cols>
    <col min="5" max="5" width="11" customWidth="1"/>
  </cols>
  <sheetData>
    <row r="1" spans="1:6" ht="15.6" x14ac:dyDescent="0.3">
      <c r="A1" s="148" t="s">
        <v>655</v>
      </c>
    </row>
    <row r="3" spans="1:6" x14ac:dyDescent="0.25">
      <c r="A3" s="309" t="s">
        <v>652</v>
      </c>
    </row>
    <row r="4" spans="1:6" x14ac:dyDescent="0.25">
      <c r="B4" s="323" t="s">
        <v>657</v>
      </c>
      <c r="C4" s="323"/>
      <c r="D4" s="323"/>
      <c r="E4" s="323"/>
    </row>
    <row r="6" spans="1:6" x14ac:dyDescent="0.25">
      <c r="A6" s="309" t="s">
        <v>656</v>
      </c>
    </row>
    <row r="7" spans="1:6" x14ac:dyDescent="0.25">
      <c r="A7" s="98"/>
      <c r="B7" s="323" t="s">
        <v>658</v>
      </c>
      <c r="C7" s="323"/>
      <c r="D7" s="323"/>
      <c r="E7" s="323"/>
      <c r="F7" s="323"/>
    </row>
  </sheetData>
  <mergeCells count="2">
    <mergeCell ref="B4:E4"/>
    <mergeCell ref="B7:F7"/>
  </mergeCells>
  <hyperlinks>
    <hyperlink ref="B7" r:id="rId1"/>
    <hyperlink ref="B4:E4" r:id="rId2" display="Genesys Knowledge Center Sizing Workbook"/>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N53"/>
  <sheetViews>
    <sheetView zoomScale="60" zoomScaleNormal="60" workbookViewId="0"/>
  </sheetViews>
  <sheetFormatPr defaultColWidth="9.109375" defaultRowHeight="14.4" x14ac:dyDescent="0.3"/>
  <cols>
    <col min="1" max="1" width="34.6640625" style="157" customWidth="1"/>
    <col min="2" max="2" width="17" style="157" customWidth="1"/>
    <col min="3" max="3" width="23.33203125" style="157" bestFit="1" customWidth="1"/>
    <col min="4" max="4" width="82.33203125" style="157" customWidth="1"/>
    <col min="5" max="5" width="12.109375" style="157" customWidth="1"/>
    <col min="6" max="6" width="12.33203125" style="157" customWidth="1"/>
    <col min="7" max="7" width="23.33203125" style="157" bestFit="1" customWidth="1"/>
    <col min="8" max="9" width="23" style="157" bestFit="1" customWidth="1"/>
    <col min="10" max="10" width="15.33203125" style="157" customWidth="1"/>
    <col min="11" max="11" width="26.44140625" style="157" customWidth="1"/>
    <col min="12" max="12" width="34" style="157" customWidth="1"/>
    <col min="13" max="13" width="19.44140625" style="157" bestFit="1" customWidth="1"/>
    <col min="14" max="14" width="34" style="157" customWidth="1"/>
    <col min="15" max="16384" width="9.109375" style="157"/>
  </cols>
  <sheetData>
    <row r="1" spans="1:14" ht="15" thickBot="1" x14ac:dyDescent="0.35">
      <c r="A1" s="165" t="s">
        <v>39</v>
      </c>
    </row>
    <row r="2" spans="1:14" ht="29.4" thickBot="1" x14ac:dyDescent="0.35">
      <c r="A2" s="336" t="s">
        <v>411</v>
      </c>
      <c r="B2" s="337"/>
      <c r="C2" s="338" t="s">
        <v>412</v>
      </c>
      <c r="D2" s="339"/>
      <c r="G2" s="170" t="s">
        <v>413</v>
      </c>
      <c r="H2" s="167"/>
      <c r="I2" s="168" t="s">
        <v>174</v>
      </c>
      <c r="J2" s="184" t="s">
        <v>414</v>
      </c>
      <c r="K2" s="205" t="s">
        <v>415</v>
      </c>
      <c r="L2" s="170" t="s">
        <v>416</v>
      </c>
      <c r="M2" s="184" t="s">
        <v>417</v>
      </c>
      <c r="N2" s="170" t="s">
        <v>418</v>
      </c>
    </row>
    <row r="3" spans="1:14" ht="15" thickBot="1" x14ac:dyDescent="0.35">
      <c r="A3" s="166" t="s">
        <v>419</v>
      </c>
      <c r="B3" s="222">
        <v>30</v>
      </c>
      <c r="C3" s="327"/>
      <c r="D3" s="327"/>
      <c r="G3" s="340" t="s">
        <v>420</v>
      </c>
      <c r="H3" s="185" t="s">
        <v>421</v>
      </c>
      <c r="I3" s="186" t="s">
        <v>421</v>
      </c>
      <c r="J3" s="187">
        <f>(K3/1024)/$N$3</f>
        <v>0.33776011480782547</v>
      </c>
      <c r="K3" s="206">
        <f>((1300 + 1430*B13)*B12 *(C30+1)) / 1048576</f>
        <v>1882790.2221679688</v>
      </c>
      <c r="L3" s="200">
        <f xml:space="preserve"> K3 / 1024</f>
        <v>1838.662326335907</v>
      </c>
      <c r="M3" s="331">
        <f xml:space="preserve"> L3 + L4</f>
        <v>1839.1742876172066</v>
      </c>
      <c r="N3" s="324">
        <f>M3+M10+M34+M42 + 0.5</f>
        <v>5443.692862853407</v>
      </c>
    </row>
    <row r="4" spans="1:14" ht="15" thickBot="1" x14ac:dyDescent="0.35">
      <c r="A4" s="166" t="s">
        <v>422</v>
      </c>
      <c r="B4" s="222">
        <v>30</v>
      </c>
      <c r="C4" s="327"/>
      <c r="D4" s="327"/>
      <c r="G4" s="341"/>
      <c r="H4" s="328" t="s">
        <v>423</v>
      </c>
      <c r="I4" s="182" t="s">
        <v>424</v>
      </c>
      <c r="J4" s="188">
        <f t="shared" ref="J4:J47" si="0">(K4/1024)/$N$3</f>
        <v>7.4499060338092195E-5</v>
      </c>
      <c r="K4" s="207">
        <f xml:space="preserve"> 300 *(B3  + B4 + B5 + B9 + B10 + 1) * B6 * 2 * 1440 * (C31+1) / 1048576</f>
        <v>415.283203125</v>
      </c>
      <c r="L4" s="331">
        <f xml:space="preserve"> (K4 + K5 + K6 + K7 + K8+ K9) / 1024</f>
        <v>0.51196128129959106</v>
      </c>
      <c r="M4" s="332"/>
      <c r="N4" s="325"/>
    </row>
    <row r="5" spans="1:14" ht="15" thickBot="1" x14ac:dyDescent="0.35">
      <c r="A5" s="166" t="s">
        <v>425</v>
      </c>
      <c r="B5" s="222">
        <v>2</v>
      </c>
      <c r="C5" s="327" t="s">
        <v>426</v>
      </c>
      <c r="D5" s="327"/>
      <c r="G5" s="341"/>
      <c r="H5" s="329"/>
      <c r="I5" s="172" t="s">
        <v>427</v>
      </c>
      <c r="J5" s="189">
        <f t="shared" si="0"/>
        <v>9.9332080450789599E-6</v>
      </c>
      <c r="K5" s="208">
        <f xml:space="preserve"> 300 * (B3 + B4 + B5 + B9 + B10 + 1) * B6 * 2* 48 *(C32+1) / 1048576</f>
        <v>55.37109375</v>
      </c>
      <c r="L5" s="332"/>
      <c r="M5" s="332"/>
      <c r="N5" s="325"/>
    </row>
    <row r="6" spans="1:14" ht="15" thickBot="1" x14ac:dyDescent="0.35">
      <c r="A6" s="166" t="s">
        <v>428</v>
      </c>
      <c r="B6" s="222">
        <v>4</v>
      </c>
      <c r="C6" s="327" t="s">
        <v>429</v>
      </c>
      <c r="D6" s="327"/>
      <c r="G6" s="341"/>
      <c r="H6" s="329"/>
      <c r="I6" s="172" t="s">
        <v>430</v>
      </c>
      <c r="J6" s="189">
        <f t="shared" si="0"/>
        <v>4.9666040225394799E-6</v>
      </c>
      <c r="K6" s="208">
        <f xml:space="preserve"> 300 * (B3 + B4 + B5 + B9 + B10 + 1)* B6 * 2 * 24 * (C33+1) / 1048576</f>
        <v>27.685546875</v>
      </c>
      <c r="L6" s="332"/>
      <c r="M6" s="332"/>
      <c r="N6" s="325"/>
    </row>
    <row r="7" spans="1:14" ht="15" thickBot="1" x14ac:dyDescent="0.35">
      <c r="A7" s="166" t="s">
        <v>431</v>
      </c>
      <c r="B7" s="222">
        <v>8</v>
      </c>
      <c r="C7" s="327" t="s">
        <v>432</v>
      </c>
      <c r="D7" s="327"/>
      <c r="G7" s="341"/>
      <c r="H7" s="329"/>
      <c r="I7" s="172" t="s">
        <v>433</v>
      </c>
      <c r="J7" s="189">
        <f t="shared" si="0"/>
        <v>2.353963364849441E-6</v>
      </c>
      <c r="K7" s="208">
        <f xml:space="preserve"> 300 * (B3 + B4 + B5 + B9 + B10 +1) *B6 *2 * (C34+1) / 1048576</f>
        <v>13.121795654296875</v>
      </c>
      <c r="L7" s="332"/>
      <c r="M7" s="332"/>
      <c r="N7" s="325"/>
    </row>
    <row r="8" spans="1:14" ht="15" thickBot="1" x14ac:dyDescent="0.35">
      <c r="A8" s="166" t="s">
        <v>434</v>
      </c>
      <c r="B8" s="222">
        <v>0</v>
      </c>
      <c r="C8" s="327" t="s">
        <v>435</v>
      </c>
      <c r="D8" s="327"/>
      <c r="G8" s="341"/>
      <c r="H8" s="329"/>
      <c r="I8" s="172" t="s">
        <v>436</v>
      </c>
      <c r="J8" s="189">
        <f t="shared" si="0"/>
        <v>1.3488173126688318E-6</v>
      </c>
      <c r="K8" s="208">
        <f xml:space="preserve"> 300 * (B3 + B4 + B5 + B9 + B10 + 1) *B6 * 2 *(C35+1) / (7 * 1048576)</f>
        <v>7.518768310546875</v>
      </c>
      <c r="L8" s="332"/>
      <c r="M8" s="332"/>
      <c r="N8" s="325"/>
    </row>
    <row r="9" spans="1:14" ht="15" thickBot="1" x14ac:dyDescent="0.35">
      <c r="A9" s="166" t="s">
        <v>437</v>
      </c>
      <c r="B9" s="222">
        <v>0</v>
      </c>
      <c r="C9" s="327" t="s">
        <v>438</v>
      </c>
      <c r="D9" s="327"/>
      <c r="G9" s="341"/>
      <c r="H9" s="330"/>
      <c r="I9" s="173" t="s">
        <v>439</v>
      </c>
      <c r="J9" s="190">
        <f t="shared" si="0"/>
        <v>9.450343765109843E-7</v>
      </c>
      <c r="K9" s="209">
        <f xml:space="preserve"> 300 * (B3 + B4 + B5 + B9 + B10 +1) *B6 * 2 *(C36+1) / (30 * 1048576)</f>
        <v>5.2679443359375</v>
      </c>
      <c r="L9" s="333"/>
      <c r="M9" s="333"/>
      <c r="N9" s="325"/>
    </row>
    <row r="10" spans="1:14" ht="15" thickBot="1" x14ac:dyDescent="0.35">
      <c r="A10" s="166" t="s">
        <v>440</v>
      </c>
      <c r="B10" s="222">
        <v>0</v>
      </c>
      <c r="C10" s="327" t="s">
        <v>441</v>
      </c>
      <c r="D10" s="327"/>
      <c r="G10" s="340" t="s">
        <v>442</v>
      </c>
      <c r="H10" s="191" t="s">
        <v>421</v>
      </c>
      <c r="I10" s="186" t="s">
        <v>421</v>
      </c>
      <c r="J10" s="187">
        <f t="shared" si="0"/>
        <v>0.48375166626322258</v>
      </c>
      <c r="K10" s="206">
        <f xml:space="preserve"> ( (3250+(660*B15)) * B14 * (1+C30))/ 1048576</f>
        <v>2696596.9848632813</v>
      </c>
      <c r="L10" s="200">
        <f xml:space="preserve"> K10 / 1024</f>
        <v>2633.3954930305481</v>
      </c>
      <c r="M10" s="331">
        <f>L10+L11+L17+L18+L19+L25+L29</f>
        <v>3603.9454379103013</v>
      </c>
      <c r="N10" s="325"/>
    </row>
    <row r="11" spans="1:14" ht="15" thickBot="1" x14ac:dyDescent="0.35">
      <c r="A11" s="166" t="s">
        <v>443</v>
      </c>
      <c r="B11" s="222">
        <v>4</v>
      </c>
      <c r="C11" s="327" t="s">
        <v>444</v>
      </c>
      <c r="D11" s="327"/>
      <c r="G11" s="344"/>
      <c r="H11" s="328" t="s">
        <v>423</v>
      </c>
      <c r="I11" s="171" t="s">
        <v>424</v>
      </c>
      <c r="J11" s="192">
        <f t="shared" si="0"/>
        <v>3.7840792552681751E-5</v>
      </c>
      <c r="K11" s="210">
        <f xml:space="preserve"> (300 * (B4 +1) * B7 * 1440 * (1+C31) + 300 * B7 *1440 * (C31+1)) / 1048576</f>
        <v>210.9375</v>
      </c>
      <c r="L11" s="331">
        <f xml:space="preserve"> (K11 + K12 + K13 + K14 +K15 + K16) / 1024</f>
        <v>0.25769324174949099</v>
      </c>
      <c r="M11" s="332"/>
      <c r="N11" s="325"/>
    </row>
    <row r="12" spans="1:14" ht="15" thickBot="1" x14ac:dyDescent="0.35">
      <c r="A12" s="166" t="s">
        <v>445</v>
      </c>
      <c r="B12" s="222">
        <v>23328000</v>
      </c>
      <c r="C12" s="334"/>
      <c r="D12" s="335"/>
      <c r="G12" s="344"/>
      <c r="H12" s="329"/>
      <c r="I12" s="172" t="s">
        <v>427</v>
      </c>
      <c r="J12" s="189">
        <f t="shared" si="0"/>
        <v>5.0454390070242333E-6</v>
      </c>
      <c r="K12" s="208">
        <f xml:space="preserve"> (300 * (B4 + 1) * B7 *48 * (1+C32) + 300 * B7 * 48 *(C32+1)) / 1048576</f>
        <v>28.125</v>
      </c>
      <c r="L12" s="332"/>
      <c r="M12" s="332"/>
      <c r="N12" s="325"/>
    </row>
    <row r="13" spans="1:14" ht="28.5" customHeight="1" thickBot="1" x14ac:dyDescent="0.35">
      <c r="A13" s="166" t="s">
        <v>446</v>
      </c>
      <c r="B13" s="222">
        <v>1</v>
      </c>
      <c r="C13" s="334" t="s">
        <v>447</v>
      </c>
      <c r="D13" s="335"/>
      <c r="G13" s="344"/>
      <c r="H13" s="329"/>
      <c r="I13" s="172" t="s">
        <v>430</v>
      </c>
      <c r="J13" s="189">
        <f t="shared" si="0"/>
        <v>2.5227195035121167E-6</v>
      </c>
      <c r="K13" s="208">
        <f xml:space="preserve"> (300 * (B4 + 1) * B7 * 24 * (1+C33) + 300 * B7 * 24 * (C33+1)) / 1048576</f>
        <v>14.0625</v>
      </c>
      <c r="L13" s="332"/>
      <c r="M13" s="332"/>
      <c r="N13" s="325"/>
    </row>
    <row r="14" spans="1:14" ht="28.5" customHeight="1" thickBot="1" x14ac:dyDescent="0.35">
      <c r="A14" s="166" t="s">
        <v>448</v>
      </c>
      <c r="B14" s="222">
        <v>23328000</v>
      </c>
      <c r="C14" s="334"/>
      <c r="D14" s="335"/>
      <c r="G14" s="344"/>
      <c r="H14" s="329"/>
      <c r="I14" s="172" t="s">
        <v>433</v>
      </c>
      <c r="J14" s="189">
        <f t="shared" si="0"/>
        <v>1.170754266115595E-6</v>
      </c>
      <c r="K14" s="208">
        <f xml:space="preserve"> (300 * (B4 + 1) * B7 * (C34+1) + 100 * B7 *(C34+1)) / 1048576</f>
        <v>6.52618408203125</v>
      </c>
      <c r="L14" s="332"/>
      <c r="M14" s="332"/>
      <c r="N14" s="325"/>
    </row>
    <row r="15" spans="1:14" ht="26.25" customHeight="1" thickBot="1" x14ac:dyDescent="0.35">
      <c r="A15" s="166" t="s">
        <v>449</v>
      </c>
      <c r="B15" s="222">
        <v>1</v>
      </c>
      <c r="C15" s="334" t="s">
        <v>450</v>
      </c>
      <c r="D15" s="335"/>
      <c r="G15" s="344"/>
      <c r="H15" s="329"/>
      <c r="I15" s="172" t="s">
        <v>436</v>
      </c>
      <c r="J15" s="189">
        <f t="shared" si="0"/>
        <v>6.8511355564131146E-7</v>
      </c>
      <c r="K15" s="208">
        <f xml:space="preserve"> (((300 * ( B4 + 1) * B7 * (C35+1)) / 7) + ((300 * B7  * (1+C35)) / 7)) / 1048576</f>
        <v>3.8190569196428572</v>
      </c>
      <c r="L15" s="332"/>
      <c r="M15" s="332"/>
      <c r="N15" s="325"/>
    </row>
    <row r="16" spans="1:14" ht="15" thickBot="1" x14ac:dyDescent="0.35">
      <c r="A16" s="166" t="s">
        <v>451</v>
      </c>
      <c r="B16" s="222">
        <v>5</v>
      </c>
      <c r="C16" s="327" t="s">
        <v>452</v>
      </c>
      <c r="D16" s="327"/>
      <c r="G16" s="344"/>
      <c r="H16" s="330"/>
      <c r="I16" s="173" t="s">
        <v>439</v>
      </c>
      <c r="J16" s="190">
        <f t="shared" si="0"/>
        <v>7.3127660087159507E-8</v>
      </c>
      <c r="K16" s="209">
        <f xml:space="preserve"> (((300 * (B4 + 1) *  (C36+1)) / 30) + (300 * B7 * (C36+1) / 30)) / 1048576</f>
        <v>0.4076385498046875</v>
      </c>
      <c r="L16" s="333"/>
      <c r="M16" s="332"/>
      <c r="N16" s="325"/>
    </row>
    <row r="17" spans="1:14" ht="15" thickBot="1" x14ac:dyDescent="0.35">
      <c r="A17" s="166" t="s">
        <v>453</v>
      </c>
      <c r="B17" s="223">
        <v>0</v>
      </c>
      <c r="C17" s="327" t="s">
        <v>454</v>
      </c>
      <c r="D17" s="327"/>
      <c r="G17" s="344"/>
      <c r="H17" s="193" t="s">
        <v>455</v>
      </c>
      <c r="I17" s="194" t="s">
        <v>455</v>
      </c>
      <c r="J17" s="195">
        <f t="shared" si="0"/>
        <v>7.982042179081307E-2</v>
      </c>
      <c r="K17" s="211">
        <f xml:space="preserve"> (500 * B14 * B16 *(C43+1)) / 1048576</f>
        <v>444946.2890625</v>
      </c>
      <c r="L17" s="201">
        <f xml:space="preserve"> K17 / 1024</f>
        <v>434.51786041259766</v>
      </c>
      <c r="M17" s="332"/>
      <c r="N17" s="325"/>
    </row>
    <row r="18" spans="1:14" ht="15" thickBot="1" x14ac:dyDescent="0.35">
      <c r="A18" s="166" t="s">
        <v>456</v>
      </c>
      <c r="B18" s="223">
        <v>0</v>
      </c>
      <c r="C18" s="327" t="s">
        <v>457</v>
      </c>
      <c r="D18" s="327"/>
      <c r="G18" s="344"/>
      <c r="H18" s="328" t="s">
        <v>458</v>
      </c>
      <c r="I18" s="171" t="s">
        <v>421</v>
      </c>
      <c r="J18" s="192">
        <f t="shared" si="0"/>
        <v>6.1860826887880124E-2</v>
      </c>
      <c r="K18" s="210">
        <f xml:space="preserve"> ((500 + (500 * B17)) * B14 * (C30+1)) / 1048576</f>
        <v>344833.3740234375</v>
      </c>
      <c r="L18" s="202">
        <f xml:space="preserve"> K18 / 1024</f>
        <v>336.75134181976318</v>
      </c>
      <c r="M18" s="332"/>
      <c r="N18" s="325"/>
    </row>
    <row r="19" spans="1:14" ht="16.5" customHeight="1" thickBot="1" x14ac:dyDescent="0.35">
      <c r="A19" s="166" t="s">
        <v>459</v>
      </c>
      <c r="B19" s="223">
        <v>0</v>
      </c>
      <c r="C19" s="327" t="s">
        <v>460</v>
      </c>
      <c r="D19" s="327"/>
      <c r="G19" s="344"/>
      <c r="H19" s="342"/>
      <c r="I19" s="172" t="s">
        <v>461</v>
      </c>
      <c r="J19" s="188">
        <f t="shared" si="0"/>
        <v>1.8920396276340875E-5</v>
      </c>
      <c r="K19" s="207">
        <f xml:space="preserve"> (300 * ( B4 + B5) * (B18 +1) * (B19+1) * 1440 * (C37+1)) *4/ 1048576</f>
        <v>105.46875</v>
      </c>
      <c r="L19" s="332">
        <f xml:space="preserve"> (K19 + K20 + K21 + K22 + K23 + K24) / 1024</f>
        <v>0.13002191271100724</v>
      </c>
      <c r="M19" s="332"/>
      <c r="N19" s="325"/>
    </row>
    <row r="20" spans="1:14" ht="15" thickBot="1" x14ac:dyDescent="0.35">
      <c r="A20" s="166" t="s">
        <v>462</v>
      </c>
      <c r="B20" s="223">
        <v>5</v>
      </c>
      <c r="C20" s="327" t="s">
        <v>463</v>
      </c>
      <c r="D20" s="327"/>
      <c r="G20" s="344"/>
      <c r="H20" s="342"/>
      <c r="I20" s="172" t="s">
        <v>464</v>
      </c>
      <c r="J20" s="188">
        <f t="shared" si="0"/>
        <v>2.5227195035121167E-6</v>
      </c>
      <c r="K20" s="207">
        <f xml:space="preserve"> (300 * (B4 + B5) * (B18 + 1) * (B19+1) * 48 * (C38+1)) *4/ 1048576</f>
        <v>14.0625</v>
      </c>
      <c r="L20" s="342"/>
      <c r="M20" s="332"/>
      <c r="N20" s="325"/>
    </row>
    <row r="21" spans="1:14" ht="15" thickBot="1" x14ac:dyDescent="0.35">
      <c r="A21" s="166" t="s">
        <v>465</v>
      </c>
      <c r="B21" s="222">
        <v>900</v>
      </c>
      <c r="C21" s="334" t="s">
        <v>466</v>
      </c>
      <c r="D21" s="335"/>
      <c r="G21" s="344"/>
      <c r="H21" s="342"/>
      <c r="I21" s="172" t="s">
        <v>467</v>
      </c>
      <c r="J21" s="188">
        <f t="shared" si="0"/>
        <v>1.2613597517560583E-6</v>
      </c>
      <c r="K21" s="207">
        <f xml:space="preserve"> (300 * (B4 + B5) * (B18 + 1) * (B19+1) * 24 * (C39+1)) *4/ 1048576</f>
        <v>7.03125</v>
      </c>
      <c r="L21" s="342"/>
      <c r="M21" s="332"/>
      <c r="N21" s="325"/>
    </row>
    <row r="22" spans="1:14" ht="15" thickBot="1" x14ac:dyDescent="0.35">
      <c r="A22" s="166" t="s">
        <v>468</v>
      </c>
      <c r="B22" s="222">
        <v>900</v>
      </c>
      <c r="C22" s="334" t="s">
        <v>469</v>
      </c>
      <c r="D22" s="335"/>
      <c r="E22" s="158"/>
      <c r="G22" s="344"/>
      <c r="H22" s="342"/>
      <c r="I22" s="172" t="s">
        <v>470</v>
      </c>
      <c r="J22" s="188">
        <f t="shared" si="0"/>
        <v>5.9783196567604848E-7</v>
      </c>
      <c r="K22" s="207">
        <f xml:space="preserve"> (300 * ( B4 + B5 ) * (B18 + 1) * (B19+1) * (C40+1)) *4 / 1048576</f>
        <v>3.33251953125</v>
      </c>
      <c r="L22" s="342"/>
      <c r="M22" s="332"/>
      <c r="N22" s="325"/>
    </row>
    <row r="23" spans="1:14" ht="15" thickBot="1" x14ac:dyDescent="0.35">
      <c r="A23" s="166" t="s">
        <v>471</v>
      </c>
      <c r="B23" s="222">
        <v>0</v>
      </c>
      <c r="C23" s="334"/>
      <c r="D23" s="335"/>
      <c r="E23" s="159"/>
      <c r="G23" s="344"/>
      <c r="H23" s="342"/>
      <c r="I23" s="172" t="s">
        <v>472</v>
      </c>
      <c r="J23" s="188">
        <f t="shared" si="0"/>
        <v>3.4255677782065573E-7</v>
      </c>
      <c r="K23" s="207">
        <f xml:space="preserve"> (300 * ( B4 + B5 ) *(B18 + 1) * (B19+1) * (C41+1)) * 4/ (7 * 1048576)</f>
        <v>1.9095284598214286</v>
      </c>
      <c r="L23" s="342"/>
      <c r="M23" s="332"/>
      <c r="N23" s="325"/>
    </row>
    <row r="24" spans="1:14" ht="17.25" customHeight="1" thickBot="1" x14ac:dyDescent="0.35">
      <c r="A24" s="166" t="s">
        <v>473</v>
      </c>
      <c r="B24" s="222">
        <v>1</v>
      </c>
      <c r="C24" s="334" t="s">
        <v>474</v>
      </c>
      <c r="D24" s="335"/>
      <c r="E24" s="160"/>
      <c r="G24" s="344"/>
      <c r="H24" s="346"/>
      <c r="I24" s="173" t="s">
        <v>475</v>
      </c>
      <c r="J24" s="196">
        <f t="shared" si="0"/>
        <v>2.4000873054247223E-7</v>
      </c>
      <c r="K24" s="212">
        <f xml:space="preserve"> (300 * ( B4 + B5 ) * (B18 + 1) * (B19+1) * (C42+1)) * 4 / ( 30 * 1048576)</f>
        <v>1.337890625</v>
      </c>
      <c r="L24" s="343"/>
      <c r="M24" s="332"/>
      <c r="N24" s="325"/>
    </row>
    <row r="25" spans="1:14" ht="19.5" customHeight="1" thickBot="1" x14ac:dyDescent="0.35">
      <c r="A25" s="166" t="s">
        <v>476</v>
      </c>
      <c r="B25" s="222">
        <v>5</v>
      </c>
      <c r="C25" s="327" t="s">
        <v>477</v>
      </c>
      <c r="D25" s="327"/>
      <c r="E25" s="159"/>
      <c r="G25" s="344"/>
      <c r="H25" s="347" t="s">
        <v>478</v>
      </c>
      <c r="I25" s="171" t="s">
        <v>479</v>
      </c>
      <c r="J25" s="192">
        <f t="shared" si="0"/>
        <v>9.0817902126436193E-6</v>
      </c>
      <c r="K25" s="210">
        <f xml:space="preserve"> (270 *B7 * (C44+1) * 24 * (3600/B21) *32) / 1048576</f>
        <v>50.625</v>
      </c>
      <c r="L25" s="350">
        <f xml:space="preserve"> (K25 + K26 + K27 + K28) / 1024</f>
        <v>6.1004774911063056E-2</v>
      </c>
      <c r="M25" s="332"/>
      <c r="N25" s="325"/>
    </row>
    <row r="26" spans="1:14" x14ac:dyDescent="0.3">
      <c r="A26" s="161"/>
      <c r="B26" s="162"/>
      <c r="E26" s="159"/>
      <c r="G26" s="344"/>
      <c r="H26" s="348"/>
      <c r="I26" s="172" t="s">
        <v>480</v>
      </c>
      <c r="J26" s="189">
        <f t="shared" si="0"/>
        <v>1.0760975382168874E-6</v>
      </c>
      <c r="K26" s="208">
        <f xml:space="preserve"> (270 *B7 * (C45+1) *32) /1048576</f>
        <v>5.99853515625</v>
      </c>
      <c r="L26" s="332"/>
      <c r="M26" s="332"/>
      <c r="N26" s="325"/>
    </row>
    <row r="27" spans="1:14" x14ac:dyDescent="0.3">
      <c r="A27" s="161"/>
      <c r="B27" s="163"/>
      <c r="E27" s="159"/>
      <c r="G27" s="344"/>
      <c r="H27" s="348"/>
      <c r="I27" s="172" t="s">
        <v>481</v>
      </c>
      <c r="J27" s="189">
        <f t="shared" si="0"/>
        <v>6.1660220007718036E-7</v>
      </c>
      <c r="K27" s="208">
        <f xml:space="preserve"> (270 *B7 * (1+C46)*32) / (7 * 1048576)</f>
        <v>3.4371512276785716</v>
      </c>
      <c r="L27" s="332"/>
      <c r="M27" s="332"/>
      <c r="N27" s="325"/>
    </row>
    <row r="28" spans="1:14" ht="15" thickBot="1" x14ac:dyDescent="0.35">
      <c r="E28" s="159"/>
      <c r="G28" s="344"/>
      <c r="H28" s="349"/>
      <c r="I28" s="173" t="s">
        <v>482</v>
      </c>
      <c r="J28" s="190">
        <f t="shared" si="0"/>
        <v>4.3201571497644999E-7</v>
      </c>
      <c r="K28" s="209">
        <f xml:space="preserve"> (270 * B7 * (1+C47)*32) / (30 * 1048576)</f>
        <v>2.408203125</v>
      </c>
      <c r="L28" s="351"/>
      <c r="M28" s="332"/>
      <c r="N28" s="325"/>
    </row>
    <row r="29" spans="1:14" ht="15" thickBot="1" x14ac:dyDescent="0.35">
      <c r="A29" s="167"/>
      <c r="B29" s="168" t="s">
        <v>174</v>
      </c>
      <c r="C29" s="169" t="s">
        <v>483</v>
      </c>
      <c r="D29" s="170" t="s">
        <v>484</v>
      </c>
      <c r="E29" s="159"/>
      <c r="G29" s="344"/>
      <c r="H29" s="347" t="s">
        <v>485</v>
      </c>
      <c r="I29" s="171" t="s">
        <v>486</v>
      </c>
      <c r="J29" s="192">
        <f t="shared" si="0"/>
        <v>3.6517842969296978E-2</v>
      </c>
      <c r="K29" s="210">
        <f xml:space="preserve"> (500 * B14 * (B20/100) * (1+C48)) / 1048576</f>
        <v>203562.92724609375</v>
      </c>
      <c r="L29" s="350">
        <f xml:space="preserve"> (K29 + K30 + K31 + K32 + K33) / 1024</f>
        <v>198.83202271802085</v>
      </c>
      <c r="M29" s="332"/>
      <c r="N29" s="325"/>
    </row>
    <row r="30" spans="1:14" ht="15" thickBot="1" x14ac:dyDescent="0.35">
      <c r="A30" s="174" t="s">
        <v>421</v>
      </c>
      <c r="B30" s="175" t="s">
        <v>421</v>
      </c>
      <c r="C30" s="214">
        <v>30</v>
      </c>
      <c r="D30" s="176" t="s">
        <v>487</v>
      </c>
      <c r="E30" s="159"/>
      <c r="G30" s="344"/>
      <c r="H30" s="348"/>
      <c r="I30" s="172" t="s">
        <v>479</v>
      </c>
      <c r="J30" s="189">
        <f t="shared" si="0"/>
        <v>6.3067987587802921E-6</v>
      </c>
      <c r="K30" s="208">
        <f xml:space="preserve"> (200 * B7 * B4 * (C49+1) * 24*(3600/B22)) / 1048576</f>
        <v>35.15625</v>
      </c>
      <c r="L30" s="332"/>
      <c r="M30" s="332"/>
      <c r="N30" s="325"/>
    </row>
    <row r="31" spans="1:14" x14ac:dyDescent="0.3">
      <c r="A31" s="352" t="s">
        <v>423</v>
      </c>
      <c r="B31" s="171" t="s">
        <v>424</v>
      </c>
      <c r="C31" s="215">
        <v>1</v>
      </c>
      <c r="D31" s="177" t="s">
        <v>488</v>
      </c>
      <c r="E31" s="159"/>
      <c r="G31" s="344"/>
      <c r="H31" s="348"/>
      <c r="I31" s="172" t="s">
        <v>480</v>
      </c>
      <c r="J31" s="189">
        <f t="shared" si="0"/>
        <v>7.4728995709506062E-7</v>
      </c>
      <c r="K31" s="208">
        <f xml:space="preserve"> (200 * B7 * B4 * (1+C50)) / 1048576</f>
        <v>4.1656494140625</v>
      </c>
      <c r="L31" s="332"/>
      <c r="M31" s="332"/>
      <c r="N31" s="325"/>
    </row>
    <row r="32" spans="1:14" x14ac:dyDescent="0.3">
      <c r="A32" s="353"/>
      <c r="B32" s="172" t="s">
        <v>427</v>
      </c>
      <c r="C32" s="216">
        <v>7</v>
      </c>
      <c r="D32" s="178" t="s">
        <v>489</v>
      </c>
      <c r="E32" s="159"/>
      <c r="G32" s="344"/>
      <c r="H32" s="348"/>
      <c r="I32" s="172" t="s">
        <v>481</v>
      </c>
      <c r="J32" s="189">
        <f t="shared" si="0"/>
        <v>2.1233827666280371E-7</v>
      </c>
      <c r="K32" s="208">
        <f xml:space="preserve"> (200 * B7 * B4 * (1+C51)) / (7 * 1048576)</f>
        <v>1.1836460658482142</v>
      </c>
      <c r="L32" s="332"/>
      <c r="M32" s="332"/>
      <c r="N32" s="325"/>
    </row>
    <row r="33" spans="1:14" ht="15" thickBot="1" x14ac:dyDescent="0.35">
      <c r="A33" s="353"/>
      <c r="B33" s="172" t="s">
        <v>430</v>
      </c>
      <c r="C33" s="216">
        <v>7</v>
      </c>
      <c r="D33" s="178" t="s">
        <v>490</v>
      </c>
      <c r="E33" s="159"/>
      <c r="G33" s="345"/>
      <c r="H33" s="349"/>
      <c r="I33" s="183" t="s">
        <v>482</v>
      </c>
      <c r="J33" s="197">
        <f t="shared" si="0"/>
        <v>1.0018612611604109E-7</v>
      </c>
      <c r="K33" s="213">
        <f xml:space="preserve"> (200 * B7 * B4 * (1+C52)) / (30 * 1048576)</f>
        <v>0.5584716796875</v>
      </c>
      <c r="L33" s="351"/>
      <c r="M33" s="333"/>
      <c r="N33" s="325"/>
    </row>
    <row r="34" spans="1:14" ht="15" thickBot="1" x14ac:dyDescent="0.35">
      <c r="A34" s="353"/>
      <c r="B34" s="172" t="s">
        <v>433</v>
      </c>
      <c r="C34" s="216">
        <v>90</v>
      </c>
      <c r="D34" s="178" t="s">
        <v>491</v>
      </c>
      <c r="E34" s="159"/>
      <c r="G34" s="340" t="s">
        <v>492</v>
      </c>
      <c r="H34" s="191" t="s">
        <v>421</v>
      </c>
      <c r="I34" s="186" t="s">
        <v>421</v>
      </c>
      <c r="J34" s="187">
        <f t="shared" si="0"/>
        <v>0</v>
      </c>
      <c r="K34" s="206">
        <f xml:space="preserve"> (1850+(660*B24)) * B23 * (1+C30) / 1048576</f>
        <v>0</v>
      </c>
      <c r="L34" s="203">
        <f xml:space="preserve"> K34 / 1024</f>
        <v>0</v>
      </c>
      <c r="M34" s="331">
        <f xml:space="preserve"> L34 + L35 + L41</f>
        <v>0</v>
      </c>
      <c r="N34" s="325"/>
    </row>
    <row r="35" spans="1:14" x14ac:dyDescent="0.3">
      <c r="A35" s="353"/>
      <c r="B35" s="172" t="s">
        <v>436</v>
      </c>
      <c r="C35" s="216">
        <v>364</v>
      </c>
      <c r="D35" s="178" t="s">
        <v>493</v>
      </c>
      <c r="E35" s="159"/>
      <c r="G35" s="341"/>
      <c r="H35" s="328" t="s">
        <v>423</v>
      </c>
      <c r="I35" s="171" t="s">
        <v>424</v>
      </c>
      <c r="J35" s="192">
        <f t="shared" si="0"/>
        <v>0</v>
      </c>
      <c r="K35" s="210">
        <f xml:space="preserve"> (300 * (B4 +1) * B8 * 1440 * (1+C31) + 300 * B8 *1440 * (C31+1)) / 1048576</f>
        <v>0</v>
      </c>
      <c r="L35" s="350">
        <f xml:space="preserve"> (K35 + K36 + K37 + K38 + K39 + K40) / 1024</f>
        <v>0</v>
      </c>
      <c r="M35" s="332"/>
      <c r="N35" s="325"/>
    </row>
    <row r="36" spans="1:14" ht="15" thickBot="1" x14ac:dyDescent="0.35">
      <c r="A36" s="354"/>
      <c r="B36" s="173" t="s">
        <v>439</v>
      </c>
      <c r="C36" s="217">
        <v>1095</v>
      </c>
      <c r="D36" s="179" t="s">
        <v>494</v>
      </c>
      <c r="E36" s="159"/>
      <c r="G36" s="341"/>
      <c r="H36" s="329"/>
      <c r="I36" s="172" t="s">
        <v>427</v>
      </c>
      <c r="J36" s="189">
        <f t="shared" si="0"/>
        <v>0</v>
      </c>
      <c r="K36" s="208">
        <f xml:space="preserve"> ((300 * (B4 + 1) * B8 * 48 * (1+C32)) + ( 300 * B8 * 48 * (1+C32))) / 1048576</f>
        <v>0</v>
      </c>
      <c r="L36" s="332"/>
      <c r="M36" s="332"/>
      <c r="N36" s="325"/>
    </row>
    <row r="37" spans="1:14" x14ac:dyDescent="0.3">
      <c r="A37" s="359" t="s">
        <v>458</v>
      </c>
      <c r="B37" s="171" t="s">
        <v>424</v>
      </c>
      <c r="C37" s="218">
        <v>1</v>
      </c>
      <c r="D37" s="180" t="s">
        <v>495</v>
      </c>
      <c r="E37" s="159"/>
      <c r="G37" s="341"/>
      <c r="H37" s="329"/>
      <c r="I37" s="172" t="s">
        <v>430</v>
      </c>
      <c r="J37" s="189">
        <f t="shared" si="0"/>
        <v>0</v>
      </c>
      <c r="K37" s="208">
        <f xml:space="preserve"> ((300 * (B4 + 1) * B8 * 24 * (1+C33)) + ( 300 * B8 * 24 * (1+C33))) / 1048576</f>
        <v>0</v>
      </c>
      <c r="L37" s="332"/>
      <c r="M37" s="332"/>
      <c r="N37" s="325"/>
    </row>
    <row r="38" spans="1:14" x14ac:dyDescent="0.3">
      <c r="A38" s="360"/>
      <c r="B38" s="172" t="s">
        <v>427</v>
      </c>
      <c r="C38" s="216">
        <v>7</v>
      </c>
      <c r="D38" s="178" t="s">
        <v>496</v>
      </c>
      <c r="E38" s="159"/>
      <c r="G38" s="341"/>
      <c r="H38" s="329"/>
      <c r="I38" s="172" t="s">
        <v>433</v>
      </c>
      <c r="J38" s="189">
        <f t="shared" si="0"/>
        <v>0</v>
      </c>
      <c r="K38" s="208">
        <f xml:space="preserve"> ((300 * (B4 + 1) * B8 * (1+C34)) + ( 300 * B8 *  (1+C34))) / 1048576</f>
        <v>0</v>
      </c>
      <c r="L38" s="332"/>
      <c r="M38" s="332"/>
      <c r="N38" s="325"/>
    </row>
    <row r="39" spans="1:14" x14ac:dyDescent="0.3">
      <c r="A39" s="360"/>
      <c r="B39" s="172" t="s">
        <v>430</v>
      </c>
      <c r="C39" s="216">
        <v>7</v>
      </c>
      <c r="D39" s="178" t="s">
        <v>497</v>
      </c>
      <c r="E39" s="159"/>
      <c r="G39" s="341"/>
      <c r="H39" s="329"/>
      <c r="I39" s="172" t="s">
        <v>436</v>
      </c>
      <c r="J39" s="189">
        <f t="shared" si="0"/>
        <v>0</v>
      </c>
      <c r="K39" s="208">
        <f xml:space="preserve"> (((300 * (B4 + 1) * B8  * (1+C35)) / 7)+ (( 300 * B8  * (1+C35)) / 7)) / 1048576</f>
        <v>0</v>
      </c>
      <c r="L39" s="332"/>
      <c r="M39" s="332"/>
      <c r="N39" s="325"/>
    </row>
    <row r="40" spans="1:14" ht="15" thickBot="1" x14ac:dyDescent="0.35">
      <c r="A40" s="360"/>
      <c r="B40" s="172" t="s">
        <v>433</v>
      </c>
      <c r="C40" s="216">
        <v>90</v>
      </c>
      <c r="D40" s="178" t="s">
        <v>498</v>
      </c>
      <c r="E40" s="159"/>
      <c r="G40" s="341"/>
      <c r="H40" s="330"/>
      <c r="I40" s="173" t="s">
        <v>439</v>
      </c>
      <c r="J40" s="190">
        <f t="shared" si="0"/>
        <v>0</v>
      </c>
      <c r="K40" s="209">
        <f xml:space="preserve"> (((300 * (B4 + 1) * B8 * (1+C36)) / 30)+ (( 300 * B8 * (1+C36)) / 30)) / 1048576</f>
        <v>0</v>
      </c>
      <c r="L40" s="351"/>
      <c r="M40" s="332"/>
      <c r="N40" s="325"/>
    </row>
    <row r="41" spans="1:14" ht="15" thickBot="1" x14ac:dyDescent="0.35">
      <c r="A41" s="360"/>
      <c r="B41" s="172" t="s">
        <v>436</v>
      </c>
      <c r="C41" s="216">
        <v>364</v>
      </c>
      <c r="D41" s="178" t="s">
        <v>499</v>
      </c>
      <c r="E41" s="159"/>
      <c r="G41" s="355"/>
      <c r="H41" s="191" t="s">
        <v>455</v>
      </c>
      <c r="I41" s="198" t="s">
        <v>455</v>
      </c>
      <c r="J41" s="196">
        <f t="shared" si="0"/>
        <v>0</v>
      </c>
      <c r="K41" s="212">
        <f xml:space="preserve"> (500 * B25 * B23 * (1+C43)) / 1048576</f>
        <v>0</v>
      </c>
      <c r="L41" s="204">
        <f xml:space="preserve"> K41 / 1024</f>
        <v>0</v>
      </c>
      <c r="M41" s="333"/>
      <c r="N41" s="325"/>
    </row>
    <row r="42" spans="1:14" ht="15" thickBot="1" x14ac:dyDescent="0.35">
      <c r="A42" s="361"/>
      <c r="B42" s="173" t="s">
        <v>439</v>
      </c>
      <c r="C42" s="217">
        <v>1095</v>
      </c>
      <c r="D42" s="179" t="s">
        <v>499</v>
      </c>
      <c r="E42" s="159"/>
      <c r="G42" s="362" t="s">
        <v>500</v>
      </c>
      <c r="H42" s="363" t="s">
        <v>423</v>
      </c>
      <c r="I42" s="171" t="s">
        <v>424</v>
      </c>
      <c r="J42" s="188">
        <f t="shared" si="0"/>
        <v>1.0642722905441743E-5</v>
      </c>
      <c r="K42" s="207">
        <f xml:space="preserve"> 300 *($B$4 + $B$5 + $B$11)  * 2 * 1440 * ($C31+1) / 1048576</f>
        <v>59.326171875</v>
      </c>
      <c r="L42" s="364">
        <f xml:space="preserve"> (K42 + K43 + K44 + K45 + K46 + K47) / 1024</f>
        <v>7.3137325899941583E-2</v>
      </c>
      <c r="M42" s="364">
        <f>L42</f>
        <v>7.3137325899941583E-2</v>
      </c>
      <c r="N42" s="326"/>
    </row>
    <row r="43" spans="1:14" ht="15" thickBot="1" x14ac:dyDescent="0.35">
      <c r="A43" s="174" t="s">
        <v>455</v>
      </c>
      <c r="B43" s="181" t="s">
        <v>455</v>
      </c>
      <c r="C43" s="219">
        <v>7</v>
      </c>
      <c r="D43" s="176" t="s">
        <v>501</v>
      </c>
      <c r="E43" s="159"/>
      <c r="G43" s="362"/>
      <c r="H43" s="363"/>
      <c r="I43" s="172" t="s">
        <v>427</v>
      </c>
      <c r="J43" s="188">
        <f t="shared" si="0"/>
        <v>1.4190297207255656E-6</v>
      </c>
      <c r="K43" s="207">
        <f xml:space="preserve"> 300 *($B$4 + $B$5 + $B$11)  * 2 * 48 * ($C32+1) / 1048576</f>
        <v>7.91015625</v>
      </c>
      <c r="L43" s="364"/>
      <c r="M43" s="327"/>
      <c r="N43" s="326"/>
    </row>
    <row r="44" spans="1:14" ht="15" thickBot="1" x14ac:dyDescent="0.35">
      <c r="A44" s="360" t="s">
        <v>478</v>
      </c>
      <c r="B44" s="182" t="s">
        <v>479</v>
      </c>
      <c r="C44" s="220">
        <v>7</v>
      </c>
      <c r="D44" s="180" t="s">
        <v>502</v>
      </c>
      <c r="E44" s="159"/>
      <c r="G44" s="362"/>
      <c r="H44" s="363"/>
      <c r="I44" s="172" t="s">
        <v>430</v>
      </c>
      <c r="J44" s="188">
        <f t="shared" si="0"/>
        <v>7.0951486036278279E-7</v>
      </c>
      <c r="K44" s="207">
        <f xml:space="preserve"> 300 *($B$4 + $B$5 + $B$11)  * 2 * 24 * ($C33+1) / 1048576</f>
        <v>3.955078125</v>
      </c>
      <c r="L44" s="364"/>
      <c r="M44" s="327"/>
      <c r="N44" s="326"/>
    </row>
    <row r="45" spans="1:14" ht="15" thickBot="1" x14ac:dyDescent="0.35">
      <c r="A45" s="360"/>
      <c r="B45" s="172" t="s">
        <v>480</v>
      </c>
      <c r="C45" s="216">
        <v>90</v>
      </c>
      <c r="D45" s="178" t="s">
        <v>503</v>
      </c>
      <c r="E45" s="159"/>
      <c r="G45" s="362"/>
      <c r="H45" s="363"/>
      <c r="I45" s="172" t="s">
        <v>433</v>
      </c>
      <c r="J45" s="188">
        <f t="shared" si="0"/>
        <v>3.3628048069277727E-7</v>
      </c>
      <c r="K45" s="207">
        <f xml:space="preserve"> 300 *($B$4 + $B$5 + $B$11)  * 2 * ($C34+1) / 1048576</f>
        <v>1.874542236328125</v>
      </c>
      <c r="L45" s="364"/>
      <c r="M45" s="327"/>
      <c r="N45" s="326"/>
    </row>
    <row r="46" spans="1:14" ht="15" thickBot="1" x14ac:dyDescent="0.35">
      <c r="A46" s="360"/>
      <c r="B46" s="172" t="s">
        <v>481</v>
      </c>
      <c r="C46" s="216">
        <v>364</v>
      </c>
      <c r="D46" s="178" t="s">
        <v>489</v>
      </c>
      <c r="G46" s="362"/>
      <c r="H46" s="363"/>
      <c r="I46" s="172" t="s">
        <v>436</v>
      </c>
      <c r="J46" s="188">
        <f t="shared" si="0"/>
        <v>1.9268818752411884E-7</v>
      </c>
      <c r="K46" s="207">
        <f xml:space="preserve"> 300 *($B$4 + $B$5 + $B$11)  * 2 * ($C35+1) / (7*1048576)</f>
        <v>1.0741097586495536</v>
      </c>
      <c r="L46" s="364"/>
      <c r="M46" s="327"/>
      <c r="N46" s="326"/>
    </row>
    <row r="47" spans="1:14" ht="15" thickBot="1" x14ac:dyDescent="0.35">
      <c r="A47" s="361"/>
      <c r="B47" s="183" t="s">
        <v>482</v>
      </c>
      <c r="C47" s="221">
        <v>1095</v>
      </c>
      <c r="D47" s="179" t="s">
        <v>504</v>
      </c>
      <c r="G47" s="362"/>
      <c r="H47" s="363"/>
      <c r="I47" s="173" t="s">
        <v>439</v>
      </c>
      <c r="J47" s="199">
        <f t="shared" si="0"/>
        <v>1.3500491093014062E-7</v>
      </c>
      <c r="K47" s="207">
        <f xml:space="preserve"> 300 *($B$4 + $B$5 + $B$11)  * 2 * ($C36+1) / (30*1048576)</f>
        <v>0.7525634765625</v>
      </c>
      <c r="L47" s="364"/>
      <c r="M47" s="327"/>
      <c r="N47" s="326"/>
    </row>
    <row r="48" spans="1:14" ht="57.6" x14ac:dyDescent="0.3">
      <c r="A48" s="356" t="s">
        <v>485</v>
      </c>
      <c r="B48" s="171" t="s">
        <v>486</v>
      </c>
      <c r="C48" s="218">
        <v>365</v>
      </c>
      <c r="D48" s="180" t="s">
        <v>505</v>
      </c>
      <c r="N48" s="164" t="s">
        <v>506</v>
      </c>
    </row>
    <row r="49" spans="1:4" x14ac:dyDescent="0.3">
      <c r="A49" s="357"/>
      <c r="B49" s="172" t="s">
        <v>479</v>
      </c>
      <c r="C49" s="216">
        <v>7</v>
      </c>
      <c r="D49" s="178" t="s">
        <v>507</v>
      </c>
    </row>
    <row r="50" spans="1:4" x14ac:dyDescent="0.3">
      <c r="A50" s="357"/>
      <c r="B50" s="172" t="s">
        <v>480</v>
      </c>
      <c r="C50" s="216">
        <v>90</v>
      </c>
      <c r="D50" s="178" t="s">
        <v>508</v>
      </c>
    </row>
    <row r="51" spans="1:4" x14ac:dyDescent="0.3">
      <c r="A51" s="357"/>
      <c r="B51" s="172" t="s">
        <v>481</v>
      </c>
      <c r="C51" s="216">
        <v>180</v>
      </c>
      <c r="D51" s="178" t="s">
        <v>509</v>
      </c>
    </row>
    <row r="52" spans="1:4" ht="15" thickBot="1" x14ac:dyDescent="0.35">
      <c r="A52" s="358"/>
      <c r="B52" s="173" t="s">
        <v>482</v>
      </c>
      <c r="C52" s="217">
        <v>365</v>
      </c>
      <c r="D52" s="179" t="s">
        <v>510</v>
      </c>
    </row>
    <row r="53" spans="1:4" ht="57.6" x14ac:dyDescent="0.3">
      <c r="A53" s="164" t="s">
        <v>506</v>
      </c>
    </row>
  </sheetData>
  <protectedRanges>
    <protectedRange sqref="B3:B25" name="Range1"/>
  </protectedRanges>
  <mergeCells count="52">
    <mergeCell ref="A31:A36"/>
    <mergeCell ref="G34:G41"/>
    <mergeCell ref="A48:A52"/>
    <mergeCell ref="M34:M41"/>
    <mergeCell ref="H35:H40"/>
    <mergeCell ref="L35:L40"/>
    <mergeCell ref="A37:A42"/>
    <mergeCell ref="G42:G47"/>
    <mergeCell ref="H42:H47"/>
    <mergeCell ref="L42:L47"/>
    <mergeCell ref="M42:M47"/>
    <mergeCell ref="A44:A47"/>
    <mergeCell ref="L19:L24"/>
    <mergeCell ref="C20:D20"/>
    <mergeCell ref="C21:D21"/>
    <mergeCell ref="C22:D22"/>
    <mergeCell ref="C23:D23"/>
    <mergeCell ref="C24:D24"/>
    <mergeCell ref="G10:G33"/>
    <mergeCell ref="C18:D18"/>
    <mergeCell ref="C25:D25"/>
    <mergeCell ref="H18:H24"/>
    <mergeCell ref="C19:D19"/>
    <mergeCell ref="H25:H28"/>
    <mergeCell ref="L25:L28"/>
    <mergeCell ref="H29:H33"/>
    <mergeCell ref="L29:L33"/>
    <mergeCell ref="A2:B2"/>
    <mergeCell ref="C2:D2"/>
    <mergeCell ref="C3:D3"/>
    <mergeCell ref="G3:G9"/>
    <mergeCell ref="M3:M9"/>
    <mergeCell ref="C6:D6"/>
    <mergeCell ref="C7:D7"/>
    <mergeCell ref="C8:D8"/>
    <mergeCell ref="C9:D9"/>
    <mergeCell ref="N3:N47"/>
    <mergeCell ref="C4:D4"/>
    <mergeCell ref="H4:H9"/>
    <mergeCell ref="L4:L9"/>
    <mergeCell ref="C5:D5"/>
    <mergeCell ref="C10:D10"/>
    <mergeCell ref="M10:M33"/>
    <mergeCell ref="C11:D11"/>
    <mergeCell ref="H11:H16"/>
    <mergeCell ref="L11:L16"/>
    <mergeCell ref="C12:D12"/>
    <mergeCell ref="C13:D13"/>
    <mergeCell ref="C14:D14"/>
    <mergeCell ref="C15:D15"/>
    <mergeCell ref="C16:D16"/>
    <mergeCell ref="C17:D1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7"/>
  <sheetViews>
    <sheetView workbookViewId="0"/>
  </sheetViews>
  <sheetFormatPr defaultRowHeight="13.2" x14ac:dyDescent="0.25"/>
  <sheetData>
    <row r="1" spans="1:6" ht="15.6" x14ac:dyDescent="0.3">
      <c r="A1" s="148" t="s">
        <v>649</v>
      </c>
    </row>
    <row r="3" spans="1:6" x14ac:dyDescent="0.25">
      <c r="A3" s="309" t="s">
        <v>652</v>
      </c>
    </row>
    <row r="4" spans="1:6" x14ac:dyDescent="0.25">
      <c r="B4" s="323" t="s">
        <v>650</v>
      </c>
      <c r="C4" s="323"/>
      <c r="D4" s="323"/>
      <c r="E4" s="323"/>
    </row>
    <row r="6" spans="1:6" x14ac:dyDescent="0.25">
      <c r="A6" s="309" t="s">
        <v>653</v>
      </c>
    </row>
    <row r="7" spans="1:6" x14ac:dyDescent="0.25">
      <c r="A7" s="98"/>
      <c r="B7" s="323" t="s">
        <v>660</v>
      </c>
      <c r="C7" s="323"/>
      <c r="D7" s="323"/>
      <c r="E7" s="323"/>
      <c r="F7" s="323"/>
    </row>
  </sheetData>
  <mergeCells count="2">
    <mergeCell ref="B4:E4"/>
    <mergeCell ref="B7:F7"/>
  </mergeCells>
  <hyperlinks>
    <hyperlink ref="B4" r:id="rId1"/>
    <hyperlink ref="B7" r:id="rId2"/>
  </hyperlinks>
  <pageMargins left="0.7" right="0.7" top="0.75" bottom="0.75" header="0.3" footer="0.3"/>
  <pageSetup orientation="portrait"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F53"/>
  <sheetViews>
    <sheetView zoomScaleNormal="100" workbookViewId="0"/>
  </sheetViews>
  <sheetFormatPr defaultColWidth="9.109375" defaultRowHeight="14.4" x14ac:dyDescent="0.3"/>
  <cols>
    <col min="1" max="1" width="53.6640625" style="252" bestFit="1" customWidth="1"/>
    <col min="2" max="2" width="24.33203125" style="252" bestFit="1" customWidth="1"/>
    <col min="3" max="3" width="22.88671875" style="252" customWidth="1"/>
    <col min="4" max="4" width="17.88671875" style="252" bestFit="1" customWidth="1"/>
    <col min="5" max="5" width="14.5546875" style="252" customWidth="1"/>
    <col min="6" max="6" width="12.88671875" style="252" customWidth="1"/>
    <col min="7" max="16384" width="9.109375" style="252"/>
  </cols>
  <sheetData>
    <row r="1" spans="1:6" ht="15" customHeight="1" x14ac:dyDescent="0.45">
      <c r="A1" s="249" t="s">
        <v>561</v>
      </c>
      <c r="B1" s="250"/>
      <c r="C1" s="250"/>
      <c r="D1" s="250"/>
      <c r="E1" s="250"/>
      <c r="F1" s="251"/>
    </row>
    <row r="2" spans="1:6" s="255" customFormat="1" ht="15" customHeight="1" x14ac:dyDescent="0.45">
      <c r="A2" s="253"/>
      <c r="B2" s="254"/>
      <c r="C2" s="250"/>
      <c r="D2" s="250"/>
      <c r="E2" s="250"/>
      <c r="F2" s="251"/>
    </row>
    <row r="3" spans="1:6" s="255" customFormat="1" ht="15" customHeight="1" x14ac:dyDescent="0.45">
      <c r="A3" s="256" t="s">
        <v>562</v>
      </c>
      <c r="B3" s="256" t="s">
        <v>0</v>
      </c>
      <c r="C3" s="250"/>
      <c r="D3" s="256" t="s">
        <v>563</v>
      </c>
      <c r="E3" s="256" t="s">
        <v>0</v>
      </c>
      <c r="F3" s="251"/>
    </row>
    <row r="4" spans="1:6" ht="15" customHeight="1" x14ac:dyDescent="0.45">
      <c r="A4" s="257" t="s">
        <v>564</v>
      </c>
      <c r="B4" s="258">
        <v>30</v>
      </c>
      <c r="C4" s="250" t="str">
        <f>IF(B4 &lt; 1,"&lt; 1 ERROR", "")</f>
        <v/>
      </c>
      <c r="D4" s="257" t="s">
        <v>565</v>
      </c>
      <c r="E4" s="259">
        <v>2.8</v>
      </c>
      <c r="F4" s="251"/>
    </row>
    <row r="5" spans="1:6" ht="15" customHeight="1" x14ac:dyDescent="0.45">
      <c r="A5" s="257" t="s">
        <v>566</v>
      </c>
      <c r="B5" s="258">
        <v>365</v>
      </c>
      <c r="C5" s="250" t="str">
        <f>IF(B5 &lt; 1,"&lt; 1 ERROR", "")</f>
        <v/>
      </c>
      <c r="D5" s="257" t="s">
        <v>567</v>
      </c>
      <c r="E5" s="259">
        <v>4</v>
      </c>
      <c r="F5" s="251"/>
    </row>
    <row r="6" spans="1:6" ht="15" customHeight="1" x14ac:dyDescent="0.45">
      <c r="A6" s="257" t="s">
        <v>568</v>
      </c>
      <c r="B6" s="258">
        <v>200000</v>
      </c>
      <c r="C6" s="250" t="str">
        <f>IF(B6 &lt; B8,TEXT(B8,"&lt;  0.00"), "")</f>
        <v/>
      </c>
      <c r="D6" s="257" t="s">
        <v>569</v>
      </c>
      <c r="E6" s="258">
        <v>4000</v>
      </c>
      <c r="F6" s="251"/>
    </row>
    <row r="7" spans="1:6" ht="15" customHeight="1" x14ac:dyDescent="0.45">
      <c r="A7" s="257" t="s">
        <v>570</v>
      </c>
      <c r="B7" s="258">
        <v>0.7</v>
      </c>
      <c r="C7" s="250" t="str">
        <f>IF(B7 &lt; 0.1,"&lt;  0.1 ERROR", "")</f>
        <v/>
      </c>
      <c r="D7" s="250"/>
      <c r="E7" s="250"/>
      <c r="F7" s="251"/>
    </row>
    <row r="8" spans="1:6" ht="15" customHeight="1" x14ac:dyDescent="0.45">
      <c r="A8" s="257" t="s">
        <v>571</v>
      </c>
      <c r="B8" s="258">
        <v>30</v>
      </c>
      <c r="C8" s="260" t="str">
        <f>IF(B8 &lt; B6/24/3600,TEXT(B6/24/3600,"&lt;  0.00"), "")</f>
        <v/>
      </c>
      <c r="D8" s="250"/>
      <c r="E8" s="250"/>
      <c r="F8" s="251"/>
    </row>
    <row r="9" spans="1:6" ht="15" customHeight="1" x14ac:dyDescent="0.45">
      <c r="A9" s="257" t="s">
        <v>572</v>
      </c>
      <c r="B9" s="258">
        <v>40000</v>
      </c>
      <c r="C9" s="250" t="str">
        <f>IF(B9 &lt; 1,"&lt; 1 ERROR", "")</f>
        <v/>
      </c>
      <c r="D9" s="250"/>
      <c r="E9" s="250"/>
      <c r="F9" s="251"/>
    </row>
    <row r="10" spans="1:6" ht="15" customHeight="1" x14ac:dyDescent="0.45">
      <c r="A10" s="257" t="s">
        <v>573</v>
      </c>
      <c r="B10" s="258">
        <v>2000</v>
      </c>
      <c r="C10" s="250" t="str">
        <f>IF(B10 &lt; 1,"&lt; 1 ERROR", "")</f>
        <v/>
      </c>
      <c r="D10" s="254"/>
      <c r="E10" s="254"/>
      <c r="F10" s="251"/>
    </row>
    <row r="11" spans="1:6" ht="15" customHeight="1" x14ac:dyDescent="0.45">
      <c r="A11" s="257" t="s">
        <v>574</v>
      </c>
      <c r="B11" s="258">
        <v>4</v>
      </c>
      <c r="C11" s="254" t="str">
        <f>IF(B11 &lt; 1,"&lt; 1 ERROR", "")</f>
        <v/>
      </c>
      <c r="D11" s="254"/>
      <c r="E11" s="254"/>
      <c r="F11" s="261"/>
    </row>
    <row r="12" spans="1:6" ht="15" customHeight="1" x14ac:dyDescent="0.45">
      <c r="A12" s="253"/>
      <c r="B12" s="262"/>
      <c r="C12" s="254"/>
      <c r="D12" s="254"/>
      <c r="E12" s="254"/>
      <c r="F12" s="261"/>
    </row>
    <row r="13" spans="1:6" ht="15" customHeight="1" x14ac:dyDescent="0.3">
      <c r="A13" s="256" t="s">
        <v>575</v>
      </c>
      <c r="B13" s="365" t="s">
        <v>576</v>
      </c>
      <c r="C13" s="366"/>
      <c r="D13" s="263"/>
      <c r="E13" s="263"/>
      <c r="F13" s="264"/>
    </row>
    <row r="14" spans="1:6" x14ac:dyDescent="0.3">
      <c r="A14" s="265">
        <f xml:space="preserve"> (B8 + (B9/B7/3600 ))*(1+0.061*(B11-1))</f>
        <v>54.267777777777781</v>
      </c>
      <c r="B14" s="266" t="str">
        <f>IF(A14 &lt; 20,"All in One","Separate Host per DB")</f>
        <v>Separate Host per DB</v>
      </c>
      <c r="C14" s="267" t="str">
        <f>IF(A14 &gt;45," IxN DB on RAID","")</f>
        <v xml:space="preserve"> IxN DB on RAID</v>
      </c>
      <c r="D14" s="263"/>
      <c r="E14" s="263"/>
      <c r="F14" s="264"/>
    </row>
    <row r="15" spans="1:6" ht="15" customHeight="1" x14ac:dyDescent="0.45">
      <c r="A15" s="253"/>
      <c r="B15" s="268"/>
      <c r="C15" s="254"/>
      <c r="D15" s="269"/>
      <c r="E15" s="269"/>
      <c r="F15" s="261"/>
    </row>
    <row r="16" spans="1:6" s="273" customFormat="1" ht="15" customHeight="1" x14ac:dyDescent="0.45">
      <c r="A16" s="270"/>
      <c r="B16" s="256" t="s">
        <v>577</v>
      </c>
      <c r="C16" s="271"/>
      <c r="D16" s="272"/>
      <c r="E16" s="367"/>
      <c r="F16" s="368"/>
    </row>
    <row r="17" spans="1:6" ht="15" customHeight="1" x14ac:dyDescent="0.45">
      <c r="A17" s="256" t="s">
        <v>578</v>
      </c>
      <c r="B17" s="256" t="s">
        <v>579</v>
      </c>
      <c r="C17" s="254"/>
      <c r="D17" s="274"/>
      <c r="E17" s="275"/>
      <c r="F17" s="276"/>
    </row>
    <row r="18" spans="1:6" ht="15" customHeight="1" x14ac:dyDescent="0.45">
      <c r="A18" s="257" t="s">
        <v>580</v>
      </c>
      <c r="B18" s="277">
        <f>((C34 +(B11-B41))*(B9 + B4*B6)/1024)/1024</f>
        <v>236.18730036417642</v>
      </c>
      <c r="C18" s="278"/>
      <c r="D18" s="271"/>
      <c r="E18" s="271"/>
      <c r="F18" s="279"/>
    </row>
    <row r="19" spans="1:6" ht="15" customHeight="1" x14ac:dyDescent="0.45">
      <c r="A19" s="257" t="s">
        <v>581</v>
      </c>
      <c r="B19" s="277">
        <f>((C35+(B11-B41))*(B9+B4*B6)/1024)/1024</f>
        <v>255.77616874694823</v>
      </c>
      <c r="C19" s="280"/>
      <c r="D19" s="271"/>
      <c r="E19" s="271"/>
      <c r="F19" s="279"/>
    </row>
    <row r="20" spans="1:6" ht="15" customHeight="1" x14ac:dyDescent="0.45">
      <c r="A20" s="257" t="s">
        <v>582</v>
      </c>
      <c r="B20" s="277">
        <f>(C36*(B5*B6)/1024)/1024</f>
        <v>29.674072265625</v>
      </c>
      <c r="C20" s="280"/>
      <c r="D20" s="254"/>
      <c r="E20" s="254"/>
      <c r="F20" s="281"/>
    </row>
    <row r="21" spans="1:6" ht="15" customHeight="1" x14ac:dyDescent="0.45">
      <c r="A21" s="282"/>
      <c r="B21" s="250"/>
      <c r="C21" s="254"/>
      <c r="D21" s="250"/>
      <c r="E21" s="250"/>
      <c r="F21" s="261"/>
    </row>
    <row r="22" spans="1:6" ht="15" customHeight="1" x14ac:dyDescent="0.45">
      <c r="A22" s="282"/>
      <c r="B22" s="250"/>
      <c r="C22" s="250"/>
      <c r="D22" s="369" t="s">
        <v>583</v>
      </c>
      <c r="E22" s="370"/>
      <c r="F22" s="251"/>
    </row>
    <row r="23" spans="1:6" x14ac:dyDescent="0.3">
      <c r="A23" s="256" t="s">
        <v>584</v>
      </c>
      <c r="B23" s="256" t="s">
        <v>585</v>
      </c>
      <c r="C23" s="256" t="s">
        <v>586</v>
      </c>
      <c r="D23" s="256" t="s">
        <v>587</v>
      </c>
      <c r="E23" s="256" t="s">
        <v>588</v>
      </c>
      <c r="F23" s="251"/>
    </row>
    <row r="24" spans="1:6" x14ac:dyDescent="0.3">
      <c r="A24" s="257" t="s">
        <v>589</v>
      </c>
      <c r="B24" s="283">
        <f>(B46 + (C46 *(A14+(B9/B7/3600 )))+(D46 *B9)+(F46 *B10))*(B42/E4)</f>
        <v>97.172215873015872</v>
      </c>
      <c r="C24" s="284">
        <f>E5*80 - ( B28 + B29)</f>
        <v>301.17172936507939</v>
      </c>
      <c r="D24" s="285" t="str">
        <f t="shared" ref="D24:D29" si="0">IF(B24 &lt; C24,"PASS", "FAILED")</f>
        <v>PASS</v>
      </c>
      <c r="E24" s="285" t="str">
        <f>IF((580+ 200 + 180 + 1200)&lt;( E6 * 0.8),"PASS", "FAILED")</f>
        <v>PASS</v>
      </c>
      <c r="F24" s="251"/>
    </row>
    <row r="25" spans="1:6" x14ac:dyDescent="0.3">
      <c r="A25" s="257" t="s">
        <v>590</v>
      </c>
      <c r="B25" s="283">
        <f>(B47 + (C47 *(A14+(B9/B7/3600 )))+(D47 *B9)+(F47 *B10))*(B42/E4)</f>
        <v>50.177739682539688</v>
      </c>
      <c r="C25" s="284">
        <f>E5*80</f>
        <v>320</v>
      </c>
      <c r="D25" s="285" t="str">
        <f t="shared" si="0"/>
        <v>PASS</v>
      </c>
      <c r="E25" s="286" t="str">
        <f>IF(3000 &lt; E6*0.8,"PASS", "FAILED")</f>
        <v>PASS</v>
      </c>
      <c r="F25" s="251"/>
    </row>
    <row r="26" spans="1:6" x14ac:dyDescent="0.3">
      <c r="A26" s="257" t="s">
        <v>591</v>
      </c>
      <c r="B26" s="283">
        <f>(B48 + (C48 *(A14+(B9/B7/3600 )))+(D48 *B9)+(F48 *B10))*(B42/E4)</f>
        <v>299.00314603174598</v>
      </c>
      <c r="C26" s="284">
        <f>E5*80</f>
        <v>320</v>
      </c>
      <c r="D26" s="285" t="str">
        <f t="shared" si="0"/>
        <v>PASS</v>
      </c>
      <c r="E26" s="285" t="str">
        <f>IF(3100 &lt; (E6*0.8),"PASS", "FAILED")</f>
        <v>PASS</v>
      </c>
      <c r="F26" s="251"/>
    </row>
    <row r="27" spans="1:6" x14ac:dyDescent="0.3">
      <c r="A27" s="257" t="s">
        <v>111</v>
      </c>
      <c r="B27" s="283">
        <f>(B49 + (C49 *(A14+(B9/B7/3600 )))+(D49 *B9)+(F49 *B10))*(B42/E4)</f>
        <v>90.046807936507946</v>
      </c>
      <c r="C27" s="284">
        <f>E5*80</f>
        <v>320</v>
      </c>
      <c r="D27" s="285" t="str">
        <f t="shared" si="0"/>
        <v>PASS</v>
      </c>
      <c r="E27" s="287" t="str">
        <f>IF(3199 &lt; (E6*0.8),"PASS", "FAILED")</f>
        <v>PASS</v>
      </c>
      <c r="F27" s="251"/>
    </row>
    <row r="28" spans="1:6" x14ac:dyDescent="0.3">
      <c r="A28" s="257" t="s">
        <v>592</v>
      </c>
      <c r="B28" s="283">
        <f>(B50 + (C50 *(A14+(B9/B7/3600 )))+(D50 *B9)+(F50 *B10))*(B42/E4)</f>
        <v>14.354920476190475</v>
      </c>
      <c r="C28" s="284">
        <v>80</v>
      </c>
      <c r="D28" s="285" t="str">
        <f t="shared" si="0"/>
        <v>PASS</v>
      </c>
      <c r="E28" s="287" t="str">
        <f>IF((580+ 200 + 180 + 1200)&lt;( E6 * 0.8),"PASS", "FAILED")</f>
        <v>PASS</v>
      </c>
      <c r="F28" s="251"/>
    </row>
    <row r="29" spans="1:6" x14ac:dyDescent="0.3">
      <c r="A29" s="257" t="s">
        <v>593</v>
      </c>
      <c r="B29" s="283">
        <f>(B51 + (C51 *(A14+(B9/B7/3600 )))+(D51 *B9)+(F51 *B10))*(B42/E4)</f>
        <v>4.4733501587301587</v>
      </c>
      <c r="C29" s="284">
        <v>80</v>
      </c>
      <c r="D29" s="285" t="str">
        <f t="shared" si="0"/>
        <v>PASS</v>
      </c>
      <c r="E29" s="287" t="str">
        <f>IF((580+ 200 + 180 + 1200)&lt;( E6 * 0.8),"PASS", "FAILED")</f>
        <v>PASS</v>
      </c>
      <c r="F29" s="251"/>
    </row>
    <row r="30" spans="1:6" x14ac:dyDescent="0.3">
      <c r="A30" s="288"/>
      <c r="B30" s="289"/>
      <c r="C30" s="289"/>
      <c r="D30" s="289"/>
      <c r="E30" s="289"/>
      <c r="F30" s="290"/>
    </row>
    <row r="31" spans="1:6" x14ac:dyDescent="0.3">
      <c r="A31" s="288"/>
      <c r="B31" s="289"/>
      <c r="C31" s="289"/>
      <c r="D31" s="289"/>
      <c r="E31" s="289"/>
      <c r="F31" s="290"/>
    </row>
    <row r="32" spans="1:6" x14ac:dyDescent="0.3">
      <c r="A32" s="291"/>
      <c r="B32" s="292"/>
      <c r="C32" s="292"/>
      <c r="D32" s="292"/>
      <c r="E32" s="292"/>
      <c r="F32" s="293"/>
    </row>
    <row r="33" spans="1:6" x14ac:dyDescent="0.3">
      <c r="A33" s="294" t="s">
        <v>594</v>
      </c>
      <c r="B33" s="295" t="s">
        <v>595</v>
      </c>
      <c r="C33" s="295" t="s">
        <v>596</v>
      </c>
      <c r="D33" s="296"/>
      <c r="E33" s="296"/>
      <c r="F33" s="293"/>
    </row>
    <row r="34" spans="1:6" x14ac:dyDescent="0.3">
      <c r="A34" s="294" t="s">
        <v>597</v>
      </c>
      <c r="B34" s="295">
        <v>1140101</v>
      </c>
      <c r="C34" s="295">
        <f>B34/B40</f>
        <v>38.003366666666665</v>
      </c>
      <c r="D34" s="292"/>
      <c r="E34" s="292"/>
      <c r="F34" s="293"/>
    </row>
    <row r="35" spans="1:6" x14ac:dyDescent="0.3">
      <c r="A35" s="294" t="s">
        <v>598</v>
      </c>
      <c r="B35" s="295">
        <v>41404098</v>
      </c>
      <c r="C35" s="295">
        <f>B35/B39</f>
        <v>41.404097999999998</v>
      </c>
      <c r="D35" s="292"/>
      <c r="E35" s="292"/>
      <c r="F35" s="293"/>
    </row>
    <row r="36" spans="1:6" x14ac:dyDescent="0.3">
      <c r="A36" s="294" t="s">
        <v>599</v>
      </c>
      <c r="B36" s="295">
        <v>426240</v>
      </c>
      <c r="C36" s="295">
        <f>B36/B39</f>
        <v>0.42624000000000001</v>
      </c>
      <c r="D36" s="292"/>
      <c r="E36" s="292"/>
      <c r="F36" s="293"/>
    </row>
    <row r="37" spans="1:6" x14ac:dyDescent="0.3">
      <c r="A37" s="291"/>
      <c r="B37" s="292"/>
      <c r="C37" s="292"/>
      <c r="D37" s="292"/>
      <c r="E37" s="292"/>
      <c r="F37" s="293"/>
    </row>
    <row r="38" spans="1:6" x14ac:dyDescent="0.3">
      <c r="A38" s="294" t="s">
        <v>600</v>
      </c>
      <c r="B38" s="292"/>
      <c r="C38" s="292"/>
      <c r="D38" s="292"/>
      <c r="E38" s="292"/>
      <c r="F38" s="293"/>
    </row>
    <row r="39" spans="1:6" x14ac:dyDescent="0.3">
      <c r="A39" s="294" t="s">
        <v>601</v>
      </c>
      <c r="B39" s="295">
        <v>1000000</v>
      </c>
      <c r="C39" s="292"/>
      <c r="D39" s="292"/>
      <c r="E39" s="292"/>
      <c r="F39" s="293"/>
    </row>
    <row r="40" spans="1:6" x14ac:dyDescent="0.3">
      <c r="A40" s="294" t="s">
        <v>602</v>
      </c>
      <c r="B40" s="295">
        <v>30000</v>
      </c>
      <c r="C40" s="292"/>
      <c r="D40" s="292"/>
      <c r="E40" s="292"/>
      <c r="F40" s="293"/>
    </row>
    <row r="41" spans="1:6" x14ac:dyDescent="0.3">
      <c r="A41" s="291" t="s">
        <v>603</v>
      </c>
      <c r="B41" s="292">
        <v>1</v>
      </c>
      <c r="C41" s="292"/>
      <c r="D41" s="292"/>
      <c r="E41" s="292"/>
      <c r="F41" s="293"/>
    </row>
    <row r="42" spans="1:6" x14ac:dyDescent="0.3">
      <c r="A42" s="291" t="s">
        <v>604</v>
      </c>
      <c r="B42" s="292">
        <v>2.8</v>
      </c>
      <c r="C42" s="292"/>
      <c r="D42" s="292"/>
      <c r="E42" s="292"/>
      <c r="F42" s="293"/>
    </row>
    <row r="43" spans="1:6" x14ac:dyDescent="0.3">
      <c r="A43" s="291"/>
      <c r="B43" s="292"/>
      <c r="C43" s="292"/>
      <c r="D43" s="292"/>
      <c r="E43" s="292"/>
      <c r="F43" s="293"/>
    </row>
    <row r="44" spans="1:6" x14ac:dyDescent="0.3">
      <c r="A44" s="291"/>
      <c r="B44" s="292"/>
      <c r="C44" s="292"/>
      <c r="D44" s="292"/>
      <c r="E44" s="292"/>
      <c r="F44" s="293"/>
    </row>
    <row r="45" spans="1:6" ht="15.6" x14ac:dyDescent="0.3">
      <c r="A45" s="297" t="s">
        <v>584</v>
      </c>
      <c r="B45" s="298" t="s">
        <v>605</v>
      </c>
      <c r="C45" s="298" t="s">
        <v>606</v>
      </c>
      <c r="D45" s="298" t="s">
        <v>607</v>
      </c>
      <c r="E45" s="298"/>
      <c r="F45" s="299" t="s">
        <v>608</v>
      </c>
    </row>
    <row r="46" spans="1:6" ht="15.6" x14ac:dyDescent="0.3">
      <c r="A46" s="297" t="s">
        <v>609</v>
      </c>
      <c r="B46" s="298">
        <v>1.1000000000000001</v>
      </c>
      <c r="C46" s="298">
        <v>1.28</v>
      </c>
      <c r="D46" s="300">
        <v>2.23E-5</v>
      </c>
      <c r="E46" s="298"/>
      <c r="F46" s="301">
        <v>2.7000000000000001E-3</v>
      </c>
    </row>
    <row r="47" spans="1:6" ht="15.6" x14ac:dyDescent="0.3">
      <c r="A47" s="297" t="s">
        <v>610</v>
      </c>
      <c r="B47" s="298">
        <v>0.87</v>
      </c>
      <c r="C47" s="298">
        <v>0.68</v>
      </c>
      <c r="D47" s="300">
        <v>4.0299999999999997E-5</v>
      </c>
      <c r="E47" s="298"/>
      <c r="F47" s="299">
        <v>0</v>
      </c>
    </row>
    <row r="48" spans="1:6" ht="15.6" x14ac:dyDescent="0.3">
      <c r="A48" s="297" t="s">
        <v>611</v>
      </c>
      <c r="B48" s="298">
        <v>53</v>
      </c>
      <c r="C48" s="298">
        <v>3.46</v>
      </c>
      <c r="D48" s="300">
        <v>1.19E-5</v>
      </c>
      <c r="E48" s="298"/>
      <c r="F48" s="301">
        <v>1.42E-3</v>
      </c>
    </row>
    <row r="49" spans="1:6" ht="15.6" x14ac:dyDescent="0.3">
      <c r="A49" s="297" t="s">
        <v>612</v>
      </c>
      <c r="B49" s="298">
        <v>0.5</v>
      </c>
      <c r="C49" s="298">
        <v>1.27</v>
      </c>
      <c r="D49" s="300">
        <v>1.17E-5</v>
      </c>
      <c r="E49" s="298"/>
      <c r="F49" s="301">
        <v>0</v>
      </c>
    </row>
    <row r="50" spans="1:6" ht="15.6" x14ac:dyDescent="0.3">
      <c r="A50" s="297" t="s">
        <v>613</v>
      </c>
      <c r="B50" s="298">
        <v>0</v>
      </c>
      <c r="C50" s="298">
        <v>0.17699999999999999</v>
      </c>
      <c r="D50" s="300">
        <v>4.85E-5</v>
      </c>
      <c r="E50" s="298"/>
      <c r="F50" s="301">
        <v>0</v>
      </c>
    </row>
    <row r="51" spans="1:6" ht="15.6" x14ac:dyDescent="0.3">
      <c r="A51" s="302" t="s">
        <v>593</v>
      </c>
      <c r="B51" s="303">
        <v>0.1</v>
      </c>
      <c r="C51" s="303">
        <v>3.7999999999999999E-2</v>
      </c>
      <c r="D51" s="304">
        <v>4.2700000000000001E-5</v>
      </c>
      <c r="E51" s="303"/>
      <c r="F51" s="305">
        <v>0</v>
      </c>
    </row>
    <row r="52" spans="1:6" x14ac:dyDescent="0.3">
      <c r="A52" s="273"/>
      <c r="B52" s="273"/>
      <c r="C52" s="273"/>
      <c r="D52" s="273"/>
      <c r="E52" s="273"/>
      <c r="F52" s="273"/>
    </row>
    <row r="53" spans="1:6" x14ac:dyDescent="0.3">
      <c r="A53" s="306"/>
      <c r="B53" s="306"/>
      <c r="C53" s="306"/>
      <c r="D53" s="306"/>
      <c r="E53" s="306"/>
      <c r="F53" s="306"/>
    </row>
  </sheetData>
  <sheetProtection selectLockedCells="1"/>
  <mergeCells count="3">
    <mergeCell ref="B13:C13"/>
    <mergeCell ref="E16:F16"/>
    <mergeCell ref="D22:E2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35</vt:i4>
      </vt:variant>
    </vt:vector>
  </HeadingPairs>
  <TitlesOfParts>
    <vt:vector size="54" baseType="lpstr">
      <vt:lpstr>Cover</vt:lpstr>
      <vt:lpstr>Contact</vt:lpstr>
      <vt:lpstr>ConfigServer</vt:lpstr>
      <vt:lpstr>DataMart</vt:lpstr>
      <vt:lpstr>GIM</vt:lpstr>
      <vt:lpstr>GKC</vt:lpstr>
      <vt:lpstr>GVP </vt:lpstr>
      <vt:lpstr>ICON</vt:lpstr>
      <vt:lpstr>iWD Sizing Calculator</vt:lpstr>
      <vt:lpstr>LRM</vt:lpstr>
      <vt:lpstr>Multimedia</vt:lpstr>
      <vt:lpstr>OCS</vt:lpstr>
      <vt:lpstr>WFM Oracle</vt:lpstr>
      <vt:lpstr>WFM MSSQL</vt:lpstr>
      <vt:lpstr>WFM DB2</vt:lpstr>
      <vt:lpstr>ICON_IDBSize</vt:lpstr>
      <vt:lpstr>IconRowSizes</vt:lpstr>
      <vt:lpstr>UCS 9.1</vt:lpstr>
      <vt:lpstr>UCS 8.x</vt:lpstr>
      <vt:lpstr>AttachementSize</vt:lpstr>
      <vt:lpstr>AutoReplySize</vt:lpstr>
      <vt:lpstr>AvgEmailSize</vt:lpstr>
      <vt:lpstr>AvgLengthStringAttrsIdKeys</vt:lpstr>
      <vt:lpstr>AvgStrLengthProfExt</vt:lpstr>
      <vt:lpstr>AvgStrLengthServiceExtension</vt:lpstr>
      <vt:lpstr>AvgStrLengthStateExtension</vt:lpstr>
      <vt:lpstr>AvgStrLengthTaskExtension</vt:lpstr>
      <vt:lpstr>interactionRetention</vt:lpstr>
      <vt:lpstr>nbChatPerDay</vt:lpstr>
      <vt:lpstr>nbContact</vt:lpstr>
      <vt:lpstr>NbCoreAttribute</vt:lpstr>
      <vt:lpstr>nbEmailPerDay</vt:lpstr>
      <vt:lpstr>NbFixedAttrExtension</vt:lpstr>
      <vt:lpstr>NbFixedAttrServiceExtension</vt:lpstr>
      <vt:lpstr>NbFixedAttrsIdKeys</vt:lpstr>
      <vt:lpstr>NbFixedAttrStateExtension</vt:lpstr>
      <vt:lpstr>NbFixedAttrTaskExtension</vt:lpstr>
      <vt:lpstr>NbIdKeys</vt:lpstr>
      <vt:lpstr>NbProfile</vt:lpstr>
      <vt:lpstr>NbProfileExtensions</vt:lpstr>
      <vt:lpstr>NbServiceExtension</vt:lpstr>
      <vt:lpstr>nbServicePerDay</vt:lpstr>
      <vt:lpstr>NbStateExtension</vt:lpstr>
      <vt:lpstr>NbStatePerService</vt:lpstr>
      <vt:lpstr>NbStrAttrExtension</vt:lpstr>
      <vt:lpstr>NbStrAttrServiceExtension</vt:lpstr>
      <vt:lpstr>NbStrAttrStateExtension</vt:lpstr>
      <vt:lpstr>NbStrAttrTaskExtension</vt:lpstr>
      <vt:lpstr>NbStringAttrsIdKeys</vt:lpstr>
      <vt:lpstr>NbTaskExtension</vt:lpstr>
      <vt:lpstr>NbTaskPerService</vt:lpstr>
      <vt:lpstr>PercentageOfEmailsWithAttachement</vt:lpstr>
      <vt:lpstr>serviceRetention</vt:lpstr>
      <vt:lpstr>totalUCSCS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DB Sizing Worksheets Version 8</dc:title>
  <dc:creator>Genesys Laboratories, Inc.</dc:creator>
  <cp:lastModifiedBy>Joe McMonagle</cp:lastModifiedBy>
  <cp:lastPrinted>2004-01-20T19:38:23Z</cp:lastPrinted>
  <dcterms:created xsi:type="dcterms:W3CDTF">2003-04-15T15:12:17Z</dcterms:created>
  <dcterms:modified xsi:type="dcterms:W3CDTF">2018-06-12T14:47:12Z</dcterms:modified>
</cp:coreProperties>
</file>